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bonachini\Desktop\Licitação Araçatuba_Revisão Edital\"/>
    </mc:Choice>
  </mc:AlternateContent>
  <xr:revisionPtr revIDLastSave="0" documentId="13_ncr:1_{88BBC3FC-5A59-4245-BEE6-7FCA03B20181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Cron. Fís. Valores" sheetId="1" r:id="rId1"/>
    <sheet name="Cron. Fin. Valores" sheetId="2" state="hidden" r:id="rId2"/>
    <sheet name="54DP-RESUMO" sheetId="3" state="hidden" r:id="rId3"/>
  </sheets>
  <externalReferences>
    <externalReference r:id="rId4"/>
  </externalReferences>
  <definedNames>
    <definedName name="\0" localSheetId="2">[1]HABITAÇÃO!#REF!</definedName>
    <definedName name="\0">[1]HABITAÇÃO!#REF!</definedName>
    <definedName name="_xlnm._FilterDatabase" localSheetId="0" hidden="1">'Cron. Fís. Valores'!$C$1:$C$63</definedName>
    <definedName name="ANDREA" localSheetId="2">[1]HABITAÇÃO!#REF!</definedName>
    <definedName name="ANDREA">[1]HABITAÇÃO!#REF!</definedName>
    <definedName name="_xlnm.Print_Area" localSheetId="2">'54DP-RESUMO'!$B$1:$H$36</definedName>
    <definedName name="_xlnm.Print_Area" localSheetId="1">'Cron. Fin. Valores'!$A$1:$E$26</definedName>
    <definedName name="_xlnm.Print_Area" localSheetId="0">'Cron. Fís. Valores'!$A$1:$U$56</definedName>
    <definedName name="D" localSheetId="2">[1]HABITAÇÃO!#REF!</definedName>
    <definedName name="D">[1]HABITAÇÃO!#REF!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Publ.GTA" localSheetId="2">[1]HABITAÇÃO!#REF!</definedName>
    <definedName name="Publ.GTA">[1]HABITAÇÃO!#REF!</definedName>
    <definedName name="_xlnm.Print_Titles" localSheetId="1">'Cron. Fin. Valores'!$1:$8</definedName>
    <definedName name="_xlnm.Print_Titles" localSheetId="0">'Cron. Fís. Valores'!$1:$7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Z_FA3C3B0B_EE85_46A6_ACE8_E861376BBCB7_.wvu.PrintArea" localSheetId="1" hidden="1">'Cron. Fin. Valores'!$A$1:$E$13</definedName>
    <definedName name="Z_FA3C3B0B_EE85_46A6_ACE8_E861376BBCB7_.wvu.PrintArea" localSheetId="0" hidden="1">'Cron. Fís. Valores'!$A$1:$F$57</definedName>
    <definedName name="Z_FA3C3B0B_EE85_46A6_ACE8_E861376BBCB7_.wvu.PrintTitles" localSheetId="1" hidden="1">'Cron. Fin. Valores'!$1:$8</definedName>
    <definedName name="Z_FA3C3B0B_EE85_46A6_ACE8_E861376BBCB7_.wvu.PrintTitles" localSheetId="0" hidden="1">'Cron. Fís. Valores'!$1:$7</definedName>
  </definedNames>
  <calcPr calcId="191029"/>
  <customWorkbookViews>
    <customWorkbookView name="JOYCE TERASSAKA DIAS - Modo de exibição pessoal" guid="{FA3C3B0B-EE85-46A6-ACE8-E861376BBCB7}" mergeInterval="0" personalView="1" maximized="1" xWindow="-8" yWindow="-8" windowWidth="1936" windowHeight="1056" tabRatio="962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E14" i="1" l="1"/>
  <c r="C56" i="1" l="1"/>
  <c r="D11" i="1"/>
  <c r="V12" i="1"/>
  <c r="D14" i="1"/>
  <c r="U54" i="1"/>
  <c r="U52" i="1"/>
  <c r="K54" i="1"/>
  <c r="T52" i="1"/>
  <c r="T54" i="1" s="1"/>
  <c r="S52" i="1"/>
  <c r="S54" i="1" s="1"/>
  <c r="R52" i="1"/>
  <c r="R54" i="1" s="1"/>
  <c r="Q52" i="1"/>
  <c r="Q54" i="1" s="1"/>
  <c r="P52" i="1"/>
  <c r="P54" i="1" s="1"/>
  <c r="O52" i="1"/>
  <c r="O54" i="1" s="1"/>
  <c r="N52" i="1"/>
  <c r="N54" i="1" s="1"/>
  <c r="M52" i="1"/>
  <c r="M54" i="1" s="1"/>
  <c r="L52" i="1"/>
  <c r="L54" i="1" s="1"/>
  <c r="H54" i="1"/>
  <c r="G54" i="1"/>
  <c r="F54" i="1"/>
  <c r="E54" i="1"/>
  <c r="D54" i="1"/>
  <c r="J54" i="1"/>
  <c r="E48" i="1"/>
  <c r="F48" i="1"/>
  <c r="G48" i="1"/>
  <c r="H48" i="1"/>
  <c r="D48" i="1"/>
  <c r="E40" i="1"/>
  <c r="N40" i="1"/>
  <c r="O40" i="1"/>
  <c r="P40" i="1"/>
  <c r="Q40" i="1"/>
  <c r="R40" i="1"/>
  <c r="S40" i="1"/>
  <c r="T40" i="1"/>
  <c r="U40" i="1"/>
  <c r="D40" i="1"/>
  <c r="E37" i="1"/>
  <c r="N37" i="1"/>
  <c r="O37" i="1"/>
  <c r="P37" i="1"/>
  <c r="Q37" i="1"/>
  <c r="R37" i="1"/>
  <c r="S37" i="1"/>
  <c r="T37" i="1"/>
  <c r="U37" i="1"/>
  <c r="D37" i="1"/>
  <c r="E33" i="1"/>
  <c r="F33" i="1"/>
  <c r="G33" i="1"/>
  <c r="H33" i="1"/>
  <c r="I33" i="1"/>
  <c r="J33" i="1"/>
  <c r="U33" i="1"/>
  <c r="D29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U27" i="1"/>
  <c r="U29" i="1" s="1"/>
  <c r="T27" i="1"/>
  <c r="T29" i="1" s="1"/>
  <c r="S27" i="1"/>
  <c r="S29" i="1" s="1"/>
  <c r="U20" i="1"/>
  <c r="T20" i="1"/>
  <c r="S20" i="1"/>
  <c r="L27" i="1"/>
  <c r="L29" i="1" s="1"/>
  <c r="K27" i="1"/>
  <c r="K29" i="1" s="1"/>
  <c r="J27" i="1"/>
  <c r="J29" i="1" s="1"/>
  <c r="I27" i="1"/>
  <c r="I29" i="1" s="1"/>
  <c r="H27" i="1"/>
  <c r="H29" i="1" s="1"/>
  <c r="G27" i="1"/>
  <c r="G29" i="1" s="1"/>
  <c r="F27" i="1"/>
  <c r="F29" i="1" s="1"/>
  <c r="E27" i="1"/>
  <c r="E29" i="1" s="1"/>
  <c r="L20" i="1"/>
  <c r="K20" i="1"/>
  <c r="J20" i="1"/>
  <c r="I20" i="1"/>
  <c r="H20" i="1"/>
  <c r="G20" i="1"/>
  <c r="E20" i="1"/>
  <c r="F20" i="1"/>
  <c r="R27" i="1"/>
  <c r="R29" i="1" s="1"/>
  <c r="Q27" i="1"/>
  <c r="Q29" i="1" s="1"/>
  <c r="P27" i="1"/>
  <c r="P29" i="1" s="1"/>
  <c r="O27" i="1"/>
  <c r="O29" i="1" s="1"/>
  <c r="N27" i="1"/>
  <c r="N29" i="1" s="1"/>
  <c r="M27" i="1"/>
  <c r="M29" i="1" s="1"/>
  <c r="N20" i="1"/>
  <c r="O20" i="1"/>
  <c r="P20" i="1"/>
  <c r="Q20" i="1"/>
  <c r="R20" i="1"/>
  <c r="M20" i="1"/>
  <c r="D24" i="1"/>
  <c r="D26" i="1" s="1"/>
  <c r="E24" i="1"/>
  <c r="E26" i="1" s="1"/>
  <c r="F24" i="1"/>
  <c r="F26" i="1" s="1"/>
  <c r="G24" i="1"/>
  <c r="G26" i="1" s="1"/>
  <c r="G17" i="1"/>
  <c r="F17" i="1"/>
  <c r="E17" i="1"/>
  <c r="D17" i="1"/>
  <c r="V17" i="1" s="1"/>
  <c r="T31" i="1"/>
  <c r="T33" i="1" s="1"/>
  <c r="L31" i="1"/>
  <c r="L33" i="1" s="1"/>
  <c r="M31" i="1"/>
  <c r="M33" i="1" s="1"/>
  <c r="N31" i="1"/>
  <c r="N33" i="1" s="1"/>
  <c r="O31" i="1"/>
  <c r="O33" i="1" s="1"/>
  <c r="K31" i="1"/>
  <c r="K33" i="1" s="1"/>
  <c r="Q31" i="1"/>
  <c r="Q33" i="1" s="1"/>
  <c r="R31" i="1"/>
  <c r="R33" i="1" s="1"/>
  <c r="S31" i="1"/>
  <c r="S33" i="1" s="1"/>
  <c r="P31" i="1"/>
  <c r="P33" i="1" s="1"/>
  <c r="U46" i="1"/>
  <c r="U48" i="1" s="1"/>
  <c r="J46" i="1"/>
  <c r="J48" i="1" s="1"/>
  <c r="K46" i="1"/>
  <c r="K48" i="1" s="1"/>
  <c r="L46" i="1"/>
  <c r="L48" i="1" s="1"/>
  <c r="M46" i="1"/>
  <c r="M48" i="1" s="1"/>
  <c r="N46" i="1"/>
  <c r="N48" i="1" s="1"/>
  <c r="O46" i="1"/>
  <c r="O48" i="1" s="1"/>
  <c r="P46" i="1"/>
  <c r="P48" i="1" s="1"/>
  <c r="I46" i="1"/>
  <c r="I48" i="1" s="1"/>
  <c r="R46" i="1"/>
  <c r="R48" i="1" s="1"/>
  <c r="S46" i="1"/>
  <c r="S48" i="1" s="1"/>
  <c r="T46" i="1"/>
  <c r="T48" i="1" s="1"/>
  <c r="Q46" i="1"/>
  <c r="Q48" i="1" s="1"/>
  <c r="T42" i="1"/>
  <c r="T44" i="1" s="1"/>
  <c r="S42" i="1"/>
  <c r="S44" i="1" s="1"/>
  <c r="L42" i="1"/>
  <c r="M42" i="1"/>
  <c r="N42" i="1"/>
  <c r="O42" i="1"/>
  <c r="K42" i="1"/>
  <c r="K44" i="1" s="1"/>
  <c r="Q42" i="1"/>
  <c r="R42" i="1"/>
  <c r="R44" i="1" s="1"/>
  <c r="P42" i="1"/>
  <c r="F44" i="1"/>
  <c r="Q44" i="1"/>
  <c r="P44" i="1"/>
  <c r="O44" i="1"/>
  <c r="N44" i="1"/>
  <c r="M44" i="1"/>
  <c r="L44" i="1"/>
  <c r="M38" i="1"/>
  <c r="M40" i="1" s="1"/>
  <c r="L38" i="1"/>
  <c r="L40" i="1" s="1"/>
  <c r="K38" i="1"/>
  <c r="K40" i="1" s="1"/>
  <c r="J38" i="1"/>
  <c r="J40" i="1" s="1"/>
  <c r="I38" i="1"/>
  <c r="I40" i="1" s="1"/>
  <c r="H38" i="1"/>
  <c r="H40" i="1" s="1"/>
  <c r="G38" i="1"/>
  <c r="G40" i="1" s="1"/>
  <c r="F38" i="1"/>
  <c r="H35" i="1"/>
  <c r="H37" i="1" s="1"/>
  <c r="M35" i="1"/>
  <c r="M37" i="1" s="1"/>
  <c r="L35" i="1"/>
  <c r="L37" i="1" s="1"/>
  <c r="G35" i="1"/>
  <c r="G37" i="1" s="1"/>
  <c r="F35" i="1"/>
  <c r="F37" i="1" s="1"/>
  <c r="K35" i="1"/>
  <c r="K37" i="1" s="1"/>
  <c r="J35" i="1"/>
  <c r="J37" i="1" s="1"/>
  <c r="I35" i="1"/>
  <c r="I37" i="1" s="1"/>
  <c r="S19" i="1"/>
  <c r="F19" i="1"/>
  <c r="G19" i="1"/>
  <c r="H19" i="1"/>
  <c r="I19" i="1"/>
  <c r="K19" i="1"/>
  <c r="U19" i="1"/>
  <c r="T19" i="1"/>
  <c r="R19" i="1"/>
  <c r="Q19" i="1"/>
  <c r="P19" i="1"/>
  <c r="O19" i="1"/>
  <c r="N19" i="1"/>
  <c r="M19" i="1"/>
  <c r="L19" i="1"/>
  <c r="J1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E9" i="1"/>
  <c r="V9" i="1" s="1"/>
  <c r="I54" i="1" l="1"/>
  <c r="V52" i="1"/>
  <c r="V38" i="1"/>
  <c r="F40" i="1"/>
  <c r="V20" i="1"/>
  <c r="V31" i="1"/>
  <c r="V46" i="1"/>
  <c r="V42" i="1"/>
  <c r="V35" i="1"/>
  <c r="V27" i="1"/>
  <c r="V24" i="1"/>
  <c r="U44" i="1" l="1"/>
  <c r="U22" i="1"/>
  <c r="T22" i="1"/>
  <c r="S22" i="1"/>
  <c r="R22" i="1"/>
  <c r="Q22" i="1"/>
  <c r="P22" i="1"/>
  <c r="U14" i="1"/>
  <c r="T14" i="1"/>
  <c r="S14" i="1"/>
  <c r="R14" i="1"/>
  <c r="Q14" i="1"/>
  <c r="P14" i="1"/>
  <c r="U11" i="1"/>
  <c r="T11" i="1"/>
  <c r="S11" i="1"/>
  <c r="R11" i="1"/>
  <c r="Q11" i="1"/>
  <c r="P11" i="1"/>
  <c r="J44" i="1"/>
  <c r="O22" i="1"/>
  <c r="N22" i="1"/>
  <c r="M22" i="1"/>
  <c r="L22" i="1"/>
  <c r="K22" i="1"/>
  <c r="J22" i="1"/>
  <c r="O14" i="1"/>
  <c r="N14" i="1"/>
  <c r="M14" i="1"/>
  <c r="L14" i="1"/>
  <c r="K14" i="1"/>
  <c r="J14" i="1"/>
  <c r="O11" i="1"/>
  <c r="N11" i="1"/>
  <c r="M11" i="1"/>
  <c r="L11" i="1"/>
  <c r="K11" i="1"/>
  <c r="J11" i="1"/>
  <c r="E22" i="1"/>
  <c r="F22" i="1"/>
  <c r="G22" i="1"/>
  <c r="H22" i="1"/>
  <c r="I22" i="1"/>
  <c r="D22" i="1"/>
  <c r="D33" i="1"/>
  <c r="Y9" i="1"/>
  <c r="D44" i="1"/>
  <c r="D19" i="1"/>
  <c r="D56" i="1" s="1"/>
  <c r="D59" i="1" s="1"/>
  <c r="E44" i="1"/>
  <c r="G44" i="1"/>
  <c r="H44" i="1"/>
  <c r="I44" i="1"/>
  <c r="E19" i="1"/>
  <c r="F14" i="1"/>
  <c r="G14" i="1"/>
  <c r="H14" i="1"/>
  <c r="I14" i="1"/>
  <c r="E11" i="1"/>
  <c r="F11" i="1"/>
  <c r="G11" i="1"/>
  <c r="H11" i="1"/>
  <c r="I11" i="1"/>
  <c r="B4" i="2"/>
  <c r="U56" i="1" l="1"/>
  <c r="L56" i="1"/>
  <c r="K56" i="1"/>
  <c r="J56" i="1"/>
  <c r="T56" i="1"/>
  <c r="S56" i="1"/>
  <c r="R56" i="1"/>
  <c r="Q56" i="1"/>
  <c r="P56" i="1"/>
  <c r="O56" i="1"/>
  <c r="N56" i="1"/>
  <c r="E56" i="1"/>
  <c r="F56" i="1"/>
  <c r="G56" i="1"/>
  <c r="H56" i="1"/>
  <c r="I56" i="1"/>
  <c r="G11" i="3"/>
  <c r="I59" i="1" l="1"/>
  <c r="V56" i="1"/>
  <c r="W56" i="1" s="1"/>
  <c r="B16" i="2"/>
  <c r="C16" i="2" s="1"/>
  <c r="B14" i="2"/>
  <c r="C14" i="2" s="1"/>
  <c r="B23" i="2"/>
  <c r="C23" i="2" s="1"/>
  <c r="F59" i="1"/>
  <c r="G59" i="1"/>
  <c r="E59" i="1"/>
  <c r="B22" i="2"/>
  <c r="C22" i="2" s="1"/>
  <c r="R59" i="1"/>
  <c r="B21" i="2"/>
  <c r="C21" i="2" s="1"/>
  <c r="Q59" i="1"/>
  <c r="B20" i="2"/>
  <c r="C20" i="2" s="1"/>
  <c r="P59" i="1"/>
  <c r="B19" i="2"/>
  <c r="C19" i="2" s="1"/>
  <c r="O59" i="1"/>
  <c r="B18" i="2"/>
  <c r="C18" i="2" s="1"/>
  <c r="N59" i="1"/>
  <c r="B15" i="2"/>
  <c r="C15" i="2" s="1"/>
  <c r="K59" i="1"/>
  <c r="B17" i="2"/>
  <c r="C17" i="2" s="1"/>
  <c r="M59" i="1"/>
  <c r="B24" i="2"/>
  <c r="C24" i="2" s="1"/>
  <c r="T59" i="1"/>
  <c r="B25" i="2"/>
  <c r="C25" i="2" s="1"/>
  <c r="U59" i="1"/>
  <c r="L59" i="1"/>
  <c r="J59" i="1"/>
  <c r="S59" i="1"/>
  <c r="B10" i="2"/>
  <c r="B11" i="2"/>
  <c r="B12" i="2"/>
  <c r="H59" i="1"/>
  <c r="B9" i="2"/>
  <c r="B13" i="2"/>
  <c r="G12" i="3"/>
  <c r="G27" i="3" s="1"/>
  <c r="C13" i="2" l="1"/>
  <c r="B3" i="2"/>
  <c r="B2" i="2"/>
  <c r="B8" i="2" l="1"/>
  <c r="B26" i="2" s="1"/>
  <c r="V63" i="1" l="1"/>
  <c r="V64" i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C10" i="2"/>
  <c r="C11" i="2"/>
  <c r="C12" i="2" l="1"/>
  <c r="C8" i="2"/>
  <c r="C9" i="2" l="1"/>
  <c r="C26" i="2" s="1"/>
  <c r="E8" i="2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</calcChain>
</file>

<file path=xl/sharedStrings.xml><?xml version="1.0" encoding="utf-8"?>
<sst xmlns="http://schemas.openxmlformats.org/spreadsheetml/2006/main" count="142" uniqueCount="124">
  <si>
    <t>CRONOGRAMA FÍSICO ESTIMATIVO DE PREVISÃO DE DESEMBOLSO</t>
  </si>
  <si>
    <t>ITEM</t>
  </si>
  <si>
    <t>ATIVIDADE</t>
  </si>
  <si>
    <t>VALOR</t>
  </si>
  <si>
    <t>MÊS 1</t>
  </si>
  <si>
    <t>MÊS 2</t>
  </si>
  <si>
    <t>MÊS 3</t>
  </si>
  <si>
    <t>MÊS 4</t>
  </si>
  <si>
    <t>MÊS 5</t>
  </si>
  <si>
    <t>MÊS 6</t>
  </si>
  <si>
    <t>SERVIÇO DE APOIO A OBRA</t>
  </si>
  <si>
    <t>CANTEIRO DE OBRAS</t>
  </si>
  <si>
    <t>ADMINISTRAÇÃO LOCAL DA OBRA</t>
  </si>
  <si>
    <t>ESTRUTURA</t>
  </si>
  <si>
    <t>TOTAL GERAL (R$)</t>
  </si>
  <si>
    <t>CRONOGRAMA FINANCEIRO ESTIMATIVO DE PREVISÃO DE DESEMBOLSO</t>
  </si>
  <si>
    <t xml:space="preserve">MÊS </t>
  </si>
  <si>
    <t>PREVISTO</t>
  </si>
  <si>
    <t>%</t>
  </si>
  <si>
    <t>PREVISTO ACUMULADO</t>
  </si>
  <si>
    <t>1</t>
  </si>
  <si>
    <t>2</t>
  </si>
  <si>
    <t>3</t>
  </si>
  <si>
    <t>4</t>
  </si>
  <si>
    <t>5</t>
  </si>
  <si>
    <t>6</t>
  </si>
  <si>
    <t>TOTAL</t>
  </si>
  <si>
    <t>PROJETO/OBRA: DELEGACIA POLICIA - 54º DP-CIDADE TIRADENTES</t>
  </si>
  <si>
    <t>MUN.: SÃO PAULO/SP</t>
  </si>
  <si>
    <t>ASSUNTO:  REFORMA DELEGACIA POLICIA - 54º DP-CIDADE TIRADENTES</t>
  </si>
  <si>
    <t>DATA BASE: FEVEREIRO/21</t>
  </si>
  <si>
    <t xml:space="preserve">                    RESUMO</t>
  </si>
  <si>
    <t>DISCRIMINAÇÃO</t>
  </si>
  <si>
    <t>UNID</t>
  </si>
  <si>
    <t>QTDE</t>
  </si>
  <si>
    <t>PÇO.UNIT.</t>
  </si>
  <si>
    <t>PÇO.TOTAL</t>
  </si>
  <si>
    <t>R$</t>
  </si>
  <si>
    <t>Instalação e desmobilização do canteiro de obras</t>
  </si>
  <si>
    <t>-</t>
  </si>
  <si>
    <t>Administração local</t>
  </si>
  <si>
    <t>Reforma Delegacia Policia - 54º DP-Cidade Tiradentes</t>
  </si>
  <si>
    <t>3.01</t>
  </si>
  <si>
    <t>Serviço de apoio à obra</t>
  </si>
  <si>
    <t>3.02</t>
  </si>
  <si>
    <t>Area externa</t>
  </si>
  <si>
    <t>3.03</t>
  </si>
  <si>
    <t>Area interna</t>
  </si>
  <si>
    <t>3.04</t>
  </si>
  <si>
    <t>Reforço Estrutural</t>
  </si>
  <si>
    <t>3.05</t>
  </si>
  <si>
    <t>Elevador</t>
  </si>
  <si>
    <t>3.06</t>
  </si>
  <si>
    <t>Instalações Hidraulicas e combate ao incendio</t>
  </si>
  <si>
    <t>3.07</t>
  </si>
  <si>
    <t>Acessibilidade</t>
  </si>
  <si>
    <t>3.08</t>
  </si>
  <si>
    <t>Instalações Eletricas</t>
  </si>
  <si>
    <t>3.09</t>
  </si>
  <si>
    <t>Climatização</t>
  </si>
  <si>
    <t>3.10</t>
  </si>
  <si>
    <t>Comunicação Visual</t>
  </si>
  <si>
    <t>TOTAL GERAL  R$</t>
  </si>
  <si>
    <t>Obs.:</t>
  </si>
  <si>
    <t>1) Encargos Sociais conforme Leis nº 13.161/15 e 13.932/19.</t>
  </si>
  <si>
    <t>2) Os preços unitários compõem-se de material, mão de obra e BDI de 17%.</t>
  </si>
  <si>
    <t>3) As cotações de insumos e serviços para elaborações dos preços unitários da CDHU são efetuadas mensalmente</t>
  </si>
  <si>
    <t xml:space="preserve"> pela FIPE no mercado,  com fornecedores e fabricantes.</t>
  </si>
  <si>
    <t>4) Valor total da mão de obra para efeito de INSS  R$ .545.471,10</t>
  </si>
  <si>
    <t xml:space="preserve"> </t>
  </si>
  <si>
    <t>TOTAL COM BDI (20,32%)</t>
  </si>
  <si>
    <t>ARQUITETURA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</si>
  <si>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</si>
  <si>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</si>
  <si>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</si>
  <si>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</si>
  <si>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</si>
  <si>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</si>
  <si>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</si>
  <si>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</si>
  <si>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</si>
  <si>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</si>
  <si>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</si>
  <si>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</si>
  <si>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OBRA: REFORMA DEFENSORIA PUBLICA DO ESTADO DE SAO PAULO-ARACATUBA</t>
  </si>
  <si>
    <t>DEFENSORIA PÚBLICA DO ESTADO DE SÃO PAULO</t>
  </si>
  <si>
    <t>LOCAL: RUA TENENTE ALCIDES THEODORO DOS SANTOS, S/N - AVIAÇÃO, ARAÇATUBA/SP</t>
  </si>
  <si>
    <t>1032.01</t>
  </si>
  <si>
    <t>1032.01.01</t>
  </si>
  <si>
    <t>IMPLANTAÇÃO</t>
  </si>
  <si>
    <t>1032.01.01.01</t>
  </si>
  <si>
    <t>DEMOLIÇÕES</t>
  </si>
  <si>
    <t>1032.01.01.02</t>
  </si>
  <si>
    <t>CONSTRUÇÕES</t>
  </si>
  <si>
    <t>EDIFICAÇÃO PRINCIPAL</t>
  </si>
  <si>
    <t>1032.01.02</t>
  </si>
  <si>
    <t>1032.01.02.01</t>
  </si>
  <si>
    <t>1032.01.02.02</t>
  </si>
  <si>
    <t>DEMOLIÇÕES, REMOÇÕES E RETIRADAS</t>
  </si>
  <si>
    <t>1032.02</t>
  </si>
  <si>
    <t>ELÉTRICA</t>
  </si>
  <si>
    <t>1032.03.01</t>
  </si>
  <si>
    <t>1032.03</t>
  </si>
  <si>
    <t>1032.03.03</t>
  </si>
  <si>
    <t>EDIFÍCIO PRINCIPAL</t>
  </si>
  <si>
    <t>1032.04</t>
  </si>
  <si>
    <t>HIDRÁULICA</t>
  </si>
  <si>
    <t>1032.05</t>
  </si>
  <si>
    <t>COMBATE A INCÊNDIO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</si>
  <si>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</si>
  <si>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</si>
  <si>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</si>
  <si>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</si>
  <si>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</si>
  <si>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</si>
  <si>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</si>
  <si>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</si>
  <si>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</si>
  <si>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</si>
  <si>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</si>
  <si>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</si>
  <si>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/>
  </si>
  <si>
    <t>1032.06</t>
  </si>
  <si>
    <t>CLIMATIZAÇÃO / VENTILAÇÃO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</si>
</sst>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&quot;\ #,##0.00"/>
    <numFmt numFmtId="168" formatCode="&quot;R$ &quot;#,##0.000"/>
    <numFmt numFmtId="169" formatCode="0.0000%"/>
    <numFmt numFmtId="170" formatCode="0.00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4" borderId="2" xfId="0" applyFont="1" applyFill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4" fillId="5" borderId="3" xfId="0" applyFont="1" applyFill="1" applyBorder="1" applyAlignment="1">
      <alignment horizontal="centerContinuous" vertical="center"/>
    </xf>
    <xf numFmtId="0" fontId="7" fillId="0" borderId="0" xfId="1" applyFont="1" applyAlignment="1">
      <alignment horizontal="left" vertical="center"/>
    </xf>
    <xf numFmtId="4" fontId="4" fillId="0" borderId="10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 applyProtection="1">
      <alignment horizontal="left" vertical="center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4" fontId="5" fillId="5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2" xfId="0" applyFont="1" applyFill="1" applyBorder="1" applyAlignment="1" applyProtection="1">
      <alignment vertical="center"/>
      <protection locked="0"/>
    </xf>
    <xf numFmtId="4" fontId="4" fillId="6" borderId="2" xfId="0" applyNumberFormat="1" applyFont="1" applyFill="1" applyBorder="1" applyAlignment="1" applyProtection="1">
      <alignment horizontal="left" vertical="center"/>
      <protection locked="0"/>
    </xf>
    <xf numFmtId="165" fontId="1" fillId="7" borderId="2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7" applyFont="1"/>
    <xf numFmtId="0" fontId="10" fillId="0" borderId="0" xfId="7" applyFont="1" applyAlignment="1">
      <alignment horizontal="left"/>
    </xf>
    <xf numFmtId="0" fontId="10" fillId="0" borderId="0" xfId="7" applyFont="1"/>
    <xf numFmtId="0" fontId="11" fillId="0" borderId="0" xfId="7" applyFont="1"/>
    <xf numFmtId="0" fontId="1" fillId="0" borderId="0" xfId="7"/>
    <xf numFmtId="0" fontId="11" fillId="0" borderId="0" xfId="7" applyFont="1" applyAlignment="1">
      <alignment horizontal="left"/>
    </xf>
    <xf numFmtId="0" fontId="10" fillId="0" borderId="12" xfId="7" applyFont="1" applyBorder="1" applyAlignment="1">
      <alignment horizontal="left"/>
    </xf>
    <xf numFmtId="0" fontId="10" fillId="0" borderId="13" xfId="7" applyFont="1" applyBorder="1"/>
    <xf numFmtId="0" fontId="10" fillId="0" borderId="13" xfId="7" applyFont="1" applyBorder="1" applyAlignment="1">
      <alignment horizontal="left" indent="2"/>
    </xf>
    <xf numFmtId="49" fontId="10" fillId="0" borderId="15" xfId="7" applyNumberFormat="1" applyFont="1" applyBorder="1" applyAlignment="1">
      <alignment horizontal="center"/>
    </xf>
    <xf numFmtId="0" fontId="11" fillId="0" borderId="8" xfId="7" applyFont="1" applyBorder="1"/>
    <xf numFmtId="0" fontId="10" fillId="0" borderId="5" xfId="7" applyFont="1" applyBorder="1" applyAlignment="1">
      <alignment horizontal="left"/>
    </xf>
    <xf numFmtId="0" fontId="10" fillId="0" borderId="6" xfId="7" applyFont="1" applyBorder="1"/>
    <xf numFmtId="0" fontId="10" fillId="0" borderId="6" xfId="7" applyFont="1" applyBorder="1" applyAlignment="1">
      <alignment horizontal="left" indent="2"/>
    </xf>
    <xf numFmtId="0" fontId="10" fillId="0" borderId="7" xfId="7" applyFont="1" applyBorder="1"/>
    <xf numFmtId="0" fontId="10" fillId="0" borderId="11" xfId="7" applyFont="1" applyBorder="1" applyAlignment="1">
      <alignment horizontal="left"/>
    </xf>
    <xf numFmtId="0" fontId="10" fillId="0" borderId="1" xfId="7" applyFont="1" applyBorder="1"/>
    <xf numFmtId="0" fontId="10" fillId="0" borderId="3" xfId="7" applyFont="1" applyBorder="1"/>
    <xf numFmtId="49" fontId="10" fillId="0" borderId="0" xfId="7" applyNumberFormat="1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10" fillId="0" borderId="11" xfId="7" applyFont="1" applyBorder="1"/>
    <xf numFmtId="0" fontId="10" fillId="0" borderId="11" xfId="7" applyFont="1" applyBorder="1" applyAlignment="1">
      <alignment horizontal="center"/>
    </xf>
    <xf numFmtId="0" fontId="10" fillId="0" borderId="14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8" xfId="7" applyFont="1" applyBorder="1" applyAlignment="1">
      <alignment horizontal="center"/>
    </xf>
    <xf numFmtId="164" fontId="11" fillId="0" borderId="8" xfId="9" applyFont="1" applyBorder="1"/>
    <xf numFmtId="0" fontId="11" fillId="0" borderId="4" xfId="7" applyFont="1" applyBorder="1"/>
    <xf numFmtId="0" fontId="11" fillId="0" borderId="8" xfId="7" applyFont="1" applyBorder="1" applyAlignment="1">
      <alignment horizontal="left" indent="1"/>
    </xf>
    <xf numFmtId="164" fontId="11" fillId="0" borderId="4" xfId="9" applyFont="1" applyBorder="1"/>
    <xf numFmtId="0" fontId="9" fillId="0" borderId="0" xfId="7" applyFont="1" applyAlignment="1">
      <alignment horizontal="center"/>
    </xf>
    <xf numFmtId="43" fontId="1" fillId="0" borderId="0" xfId="7" applyNumberFormat="1"/>
    <xf numFmtId="49" fontId="11" fillId="0" borderId="8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64" fontId="10" fillId="0" borderId="14" xfId="9" applyFont="1" applyBorder="1"/>
    <xf numFmtId="0" fontId="11" fillId="0" borderId="6" xfId="7" applyFont="1" applyBorder="1" applyAlignment="1">
      <alignment horizontal="center"/>
    </xf>
    <xf numFmtId="164" fontId="11" fillId="0" borderId="6" xfId="9" applyFont="1" applyBorder="1"/>
    <xf numFmtId="164" fontId="11" fillId="0" borderId="0" xfId="9" applyFont="1" applyBorder="1"/>
    <xf numFmtId="0" fontId="1" fillId="0" borderId="8" xfId="7" applyBorder="1"/>
    <xf numFmtId="0" fontId="12" fillId="0" borderId="0" xfId="7" applyFont="1" applyAlignment="1">
      <alignment horizontal="center"/>
    </xf>
    <xf numFmtId="164" fontId="12" fillId="0" borderId="4" xfId="9" applyFont="1" applyBorder="1"/>
    <xf numFmtId="0" fontId="1" fillId="0" borderId="11" xfId="7" applyBorder="1" applyAlignment="1">
      <alignment horizontal="left"/>
    </xf>
    <xf numFmtId="0" fontId="1" fillId="0" borderId="1" xfId="7" applyBorder="1"/>
    <xf numFmtId="4" fontId="1" fillId="0" borderId="1" xfId="7" applyNumberFormat="1" applyBorder="1"/>
    <xf numFmtId="4" fontId="1" fillId="0" borderId="14" xfId="7" applyNumberFormat="1" applyBorder="1"/>
    <xf numFmtId="0" fontId="1" fillId="0" borderId="0" xfId="7" applyAlignment="1">
      <alignment horizontal="left"/>
    </xf>
    <xf numFmtId="4" fontId="1" fillId="0" borderId="0" xfId="7" applyNumberFormat="1"/>
    <xf numFmtId="0" fontId="4" fillId="0" borderId="0" xfId="7" applyFont="1"/>
    <xf numFmtId="9" fontId="13" fillId="0" borderId="0" xfId="1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 wrapText="1"/>
    </xf>
    <xf numFmtId="4" fontId="1" fillId="0" borderId="6" xfId="5" applyNumberFormat="1" applyFont="1" applyFill="1" applyBorder="1" applyAlignment="1">
      <alignment vertical="center"/>
    </xf>
    <xf numFmtId="165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0" fontId="1" fillId="5" borderId="10" xfId="0" applyNumberFormat="1" applyFont="1" applyFill="1" applyBorder="1" applyAlignment="1" applyProtection="1">
      <alignment horizontal="center" vertical="center"/>
      <protection locked="0"/>
    </xf>
    <xf numFmtId="10" fontId="1" fillId="0" borderId="0" xfId="10" applyNumberFormat="1" applyFont="1" applyFill="1" applyAlignment="1">
      <alignment vertical="center"/>
    </xf>
    <xf numFmtId="9" fontId="1" fillId="0" borderId="0" xfId="0" applyNumberFormat="1" applyFont="1" applyAlignment="1">
      <alignment vertical="center"/>
    </xf>
    <xf numFmtId="168" fontId="1" fillId="5" borderId="14" xfId="6" applyNumberFormat="1" applyFont="1" applyFill="1" applyBorder="1" applyAlignment="1" applyProtection="1">
      <alignment horizontal="center" vertical="center"/>
      <protection locked="0"/>
    </xf>
    <xf numFmtId="168" fontId="1" fillId="8" borderId="14" xfId="6" applyNumberFormat="1" applyFont="1" applyFill="1" applyBorder="1" applyAlignment="1" applyProtection="1">
      <alignment horizontal="center" vertical="center"/>
      <protection locked="0"/>
    </xf>
    <xf numFmtId="9" fontId="1" fillId="0" borderId="0" xfId="10" applyFont="1" applyFill="1" applyAlignment="1">
      <alignment vertical="center"/>
    </xf>
    <xf numFmtId="10" fontId="1" fillId="6" borderId="2" xfId="0" applyNumberFormat="1" applyFont="1" applyFill="1" applyBorder="1" applyAlignment="1" applyProtection="1">
      <alignment horizontal="center" vertical="center"/>
      <protection locked="0"/>
    </xf>
    <xf numFmtId="166" fontId="1" fillId="5" borderId="14" xfId="6" applyNumberFormat="1" applyFont="1" applyFill="1" applyBorder="1" applyAlignment="1" applyProtection="1">
      <alignment horizontal="center" vertical="center"/>
      <protection locked="0"/>
    </xf>
    <xf numFmtId="164" fontId="1" fillId="0" borderId="0" xfId="5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4" fontId="1" fillId="0" borderId="7" xfId="5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 vertical="center"/>
    </xf>
    <xf numFmtId="4" fontId="1" fillId="0" borderId="3" xfId="5" applyNumberFormat="1" applyFont="1" applyFill="1" applyBorder="1" applyAlignment="1">
      <alignment horizontal="left"/>
    </xf>
    <xf numFmtId="0" fontId="1" fillId="0" borderId="0" xfId="0" applyFont="1"/>
    <xf numFmtId="0" fontId="1" fillId="0" borderId="2" xfId="0" quotePrefix="1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 applyAlignment="1">
      <alignment wrapText="1"/>
    </xf>
    <xf numFmtId="164" fontId="1" fillId="0" borderId="0" xfId="5" applyFont="1" applyAlignment="1">
      <alignment wrapText="1"/>
    </xf>
    <xf numFmtId="4" fontId="2" fillId="0" borderId="0" xfId="0" applyNumberFormat="1" applyFont="1" applyAlignment="1">
      <alignment vertical="center" wrapText="1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5" applyNumberFormat="1" applyFont="1" applyFill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0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1">
    <cellStyle name="Normal" xfId="0" builtinId="0"/>
    <cellStyle name="Normal 2" xfId="7" xr:uid="{00000000-0005-0000-0000-000001000000}"/>
    <cellStyle name="Normal 2 2" xfId="1" xr:uid="{00000000-0005-0000-0000-000002000000}"/>
    <cellStyle name="Normal 2_DETALHADA_CDP-GALIA_161" xfId="2" xr:uid="{00000000-0005-0000-0000-000003000000}"/>
    <cellStyle name="Porcentagem" xfId="10" builtinId="5"/>
    <cellStyle name="Porcentagem 2" xfId="8" xr:uid="{00000000-0005-0000-0000-000005000000}"/>
    <cellStyle name="Porcentagem 2 2" xfId="3" xr:uid="{00000000-0005-0000-0000-000006000000}"/>
    <cellStyle name="Separador de milhares 4" xfId="4" xr:uid="{00000000-0005-0000-0000-000007000000}"/>
    <cellStyle name="Vírgula" xfId="5" builtinId="3"/>
    <cellStyle name="Vírgula 2" xfId="9" xr:uid="{00000000-0005-0000-0000-000009000000}"/>
    <cellStyle name="Vírgula 2 2" xfId="6" xr:uid="{00000000-0005-0000-0000-00000A000000}"/>
  </cellStyles>
  <dxfs count="40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2</xdr:row>
      <xdr:rowOff>56029</xdr:rowOff>
    </xdr:from>
    <xdr:to>
      <xdr:col>0</xdr:col>
      <xdr:colOff>806824</xdr:colOff>
      <xdr:row>2</xdr:row>
      <xdr:rowOff>246529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6D230B-48F8-4791-AC52-7EB8793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381000"/>
          <a:ext cx="762000" cy="199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47625</xdr:rowOff>
    </xdr:from>
    <xdr:to>
      <xdr:col>0</xdr:col>
      <xdr:colOff>790575</xdr:colOff>
      <xdr:row>2</xdr:row>
      <xdr:rowOff>247258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EF520-1349-40BF-91FE-815E00CCF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71475"/>
          <a:ext cx="762000" cy="199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0</xdr:row>
      <xdr:rowOff>52922</xdr:rowOff>
    </xdr:from>
    <xdr:to>
      <xdr:col>2</xdr:col>
      <xdr:colOff>550331</xdr:colOff>
      <xdr:row>2</xdr:row>
      <xdr:rowOff>84672</xdr:rowOff>
    </xdr:to>
    <xdr:pic>
      <xdr:nvPicPr>
        <xdr:cNvPr id="2" name="Imagem 1" descr="http://portal/download/identidade-visual/logo/jpg/CDHU-preferencial-pos-RGB.jpg">
          <a:extLst>
            <a:ext uri="{FF2B5EF4-FFF2-40B4-BE49-F238E27FC236}">
              <a16:creationId xmlns:a16="http://schemas.microsoft.com/office/drawing/2014/main" id="{3AD26E4C-6AAE-48D5-A727-228540F36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5" y="52922"/>
          <a:ext cx="948266" cy="46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  <sheetName val="Resul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showZeros="0" tabSelected="1" view="pageBreakPreview" zoomScaleNormal="85" zoomScaleSheetLayoutView="100" zoomScalePageLayoutView="41" workbookViewId="0">
      <selection activeCell="K59" sqref="K59"/>
    </sheetView>
  </sheetViews>
  <sheetFormatPr defaultColWidth="9.140625" defaultRowHeight="12.75" x14ac:dyDescent="0.2"/>
  <cols>
    <col min="1" max="1" width="12.7109375" style="15" customWidth="1"/>
    <col min="2" max="2" width="63.5703125" style="19" customWidth="1"/>
    <col min="3" max="3" width="25.140625" style="19" customWidth="1"/>
    <col min="4" max="4" width="16.7109375" style="20" customWidth="1"/>
    <col min="5" max="9" width="15.7109375" style="20" customWidth="1"/>
    <col min="10" max="10" width="16.7109375" style="20" customWidth="1"/>
    <col min="11" max="15" width="15.7109375" style="20" customWidth="1"/>
    <col min="16" max="16" width="16.7109375" style="20" customWidth="1"/>
    <col min="17" max="21" width="15.7109375" style="20" customWidth="1"/>
    <col min="22" max="22" width="11.7109375" style="15" bestFit="1" customWidth="1"/>
    <col min="23" max="23" width="12.5703125" style="15" customWidth="1"/>
    <col min="24" max="24" width="9.140625" style="15"/>
    <col min="25" max="25" width="9.42578125" style="15" bestFit="1" customWidth="1"/>
    <col min="26" max="16384" width="9.140625" style="15"/>
  </cols>
  <sheetData>
    <row r="1" spans="1:25" ht="6" customHeight="1" x14ac:dyDescent="0.2">
      <c r="A1" s="101"/>
      <c r="B1" s="102"/>
      <c r="C1" s="102"/>
      <c r="D1" s="103"/>
      <c r="E1" s="102"/>
      <c r="F1" s="104"/>
      <c r="G1" s="103"/>
      <c r="H1" s="103"/>
      <c r="I1" s="103"/>
      <c r="J1" s="103"/>
      <c r="K1" s="102"/>
      <c r="L1" s="104"/>
      <c r="M1" s="103"/>
      <c r="N1" s="103"/>
      <c r="O1" s="103"/>
      <c r="P1" s="103"/>
      <c r="Q1" s="102"/>
      <c r="R1" s="104"/>
      <c r="S1" s="103"/>
      <c r="T1" s="103"/>
      <c r="U1" s="105"/>
      <c r="V1" s="106"/>
      <c r="W1" s="106"/>
      <c r="X1" s="106"/>
      <c r="Y1" s="106"/>
    </row>
    <row r="2" spans="1:25" ht="20.100000000000001" customHeight="1" x14ac:dyDescent="0.2">
      <c r="A2" s="107"/>
      <c r="B2" s="47" t="s">
        <v>85</v>
      </c>
      <c r="C2" s="47"/>
      <c r="D2" s="47"/>
      <c r="E2" s="47"/>
      <c r="F2" s="47"/>
      <c r="G2" s="44"/>
      <c r="H2" s="44"/>
      <c r="I2" s="44"/>
      <c r="J2" s="47"/>
      <c r="K2" s="47"/>
      <c r="L2" s="47"/>
      <c r="M2" s="44"/>
      <c r="N2" s="44"/>
      <c r="O2" s="44"/>
      <c r="P2" s="47"/>
      <c r="Q2" s="47"/>
      <c r="R2" s="47"/>
      <c r="S2" s="44"/>
      <c r="T2" s="44"/>
      <c r="U2" s="48"/>
      <c r="V2" s="106"/>
      <c r="W2" s="106"/>
      <c r="X2" s="106"/>
      <c r="Y2" s="106"/>
    </row>
    <row r="3" spans="1:25" ht="24.95" customHeight="1" x14ac:dyDescent="0.2">
      <c r="A3" s="107"/>
      <c r="B3" s="22" t="s">
        <v>84</v>
      </c>
      <c r="C3" s="22"/>
      <c r="D3" s="22"/>
      <c r="E3" s="141"/>
      <c r="F3" s="142"/>
      <c r="G3" s="44"/>
      <c r="H3" s="44"/>
      <c r="I3" s="44"/>
      <c r="J3" s="147" t="s">
        <v>121</v>
      </c>
      <c r="K3" s="141"/>
      <c r="L3" s="142"/>
      <c r="M3" s="44"/>
      <c r="N3" s="44"/>
      <c r="O3" s="44"/>
      <c r="P3" s="22"/>
      <c r="Q3" s="141"/>
      <c r="R3" s="142"/>
      <c r="S3" s="44"/>
      <c r="T3" s="44"/>
      <c r="U3" s="48"/>
      <c r="V3" s="106"/>
      <c r="W3" s="106"/>
      <c r="X3" s="106"/>
      <c r="Y3" s="106"/>
    </row>
    <row r="4" spans="1:25" ht="20.100000000000001" customHeight="1" x14ac:dyDescent="0.2">
      <c r="A4" s="107"/>
      <c r="B4" s="46" t="s">
        <v>86</v>
      </c>
      <c r="C4" s="46"/>
      <c r="D4" s="46"/>
      <c r="E4" s="46"/>
      <c r="F4" s="46"/>
      <c r="G4" s="44"/>
      <c r="H4" s="44"/>
      <c r="I4" s="44"/>
      <c r="J4" s="46"/>
      <c r="K4" s="46"/>
      <c r="L4" s="46"/>
      <c r="M4" s="44"/>
      <c r="N4" s="44"/>
      <c r="O4" s="44"/>
      <c r="P4" s="46"/>
      <c r="Q4" s="46"/>
      <c r="R4" s="46"/>
      <c r="S4" s="44"/>
      <c r="T4" s="44"/>
      <c r="U4" s="48"/>
      <c r="V4" s="106"/>
      <c r="W4" s="106"/>
      <c r="X4" s="106"/>
      <c r="Y4" s="106"/>
    </row>
    <row r="5" spans="1:25" ht="6" customHeight="1" x14ac:dyDescent="0.2">
      <c r="A5" s="143"/>
      <c r="B5" s="144"/>
      <c r="C5" s="144"/>
      <c r="D5" s="145"/>
      <c r="E5" s="144"/>
      <c r="F5" s="146"/>
      <c r="G5" s="45"/>
      <c r="H5" s="45"/>
      <c r="I5" s="45"/>
      <c r="J5" s="145"/>
      <c r="K5" s="144"/>
      <c r="L5" s="146"/>
      <c r="M5" s="45"/>
      <c r="N5" s="45"/>
      <c r="O5" s="45"/>
      <c r="P5" s="145"/>
      <c r="Q5" s="144"/>
      <c r="R5" s="146"/>
      <c r="S5" s="45"/>
      <c r="T5" s="45"/>
      <c r="U5" s="49"/>
      <c r="V5" s="106"/>
      <c r="W5" s="106"/>
      <c r="X5" s="106"/>
      <c r="Y5" s="106"/>
    </row>
    <row r="6" spans="1:25" ht="39.950000000000003" customHeight="1" x14ac:dyDescent="0.2">
      <c r="A6" s="153" t="s">
        <v>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06"/>
      <c r="W6" s="106"/>
      <c r="X6" s="106"/>
      <c r="Y6" s="106"/>
    </row>
    <row r="7" spans="1:25" s="36" customFormat="1" ht="15" customHeight="1" x14ac:dyDescent="0.2">
      <c r="A7" s="5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72</v>
      </c>
      <c r="K7" s="7" t="s">
        <v>73</v>
      </c>
      <c r="L7" s="7" t="s">
        <v>74</v>
      </c>
      <c r="M7" s="7" t="s">
        <v>75</v>
      </c>
      <c r="N7" s="7" t="s">
        <v>76</v>
      </c>
      <c r="O7" s="7" t="s">
        <v>77</v>
      </c>
      <c r="P7" s="7" t="s">
        <v>78</v>
      </c>
      <c r="Q7" s="7" t="s">
        <v>79</v>
      </c>
      <c r="R7" s="7" t="s">
        <v>80</v>
      </c>
      <c r="S7" s="7" t="s">
        <v>81</v>
      </c>
      <c r="T7" s="7" t="s">
        <v>82</v>
      </c>
      <c r="U7" s="7" t="s">
        <v>83</v>
      </c>
    </row>
    <row r="8" spans="1:25" s="106" customFormat="1" ht="15" customHeight="1" x14ac:dyDescent="0.2">
      <c r="A8" s="16"/>
      <c r="B8" s="16" t="s">
        <v>10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5" s="106" customFormat="1" ht="12.75" customHeight="1" x14ac:dyDescent="0.2">
      <c r="A9" s="28"/>
      <c r="B9" s="28" t="s">
        <v>11</v>
      </c>
      <c r="C9" s="140">
        <v>84279.933999999994</v>
      </c>
      <c r="D9" s="108">
        <v>0.25</v>
      </c>
      <c r="E9" s="108">
        <f>0.75/17</f>
        <v>4.4117647058823532E-2</v>
      </c>
      <c r="F9" s="108">
        <f t="shared" ref="F9:U9" si="0">0.75/17</f>
        <v>4.4117647058823532E-2</v>
      </c>
      <c r="G9" s="108">
        <f t="shared" si="0"/>
        <v>4.4117647058823532E-2</v>
      </c>
      <c r="H9" s="108">
        <f t="shared" si="0"/>
        <v>4.4117647058823532E-2</v>
      </c>
      <c r="I9" s="108">
        <f t="shared" si="0"/>
        <v>4.4117647058823532E-2</v>
      </c>
      <c r="J9" s="108">
        <f t="shared" si="0"/>
        <v>4.4117647058823532E-2</v>
      </c>
      <c r="K9" s="108">
        <f t="shared" si="0"/>
        <v>4.4117647058823532E-2</v>
      </c>
      <c r="L9" s="108">
        <f t="shared" si="0"/>
        <v>4.4117647058823532E-2</v>
      </c>
      <c r="M9" s="108">
        <f t="shared" si="0"/>
        <v>4.4117647058823532E-2</v>
      </c>
      <c r="N9" s="108">
        <f t="shared" si="0"/>
        <v>4.4117647058823532E-2</v>
      </c>
      <c r="O9" s="108">
        <f t="shared" si="0"/>
        <v>4.4117647058823532E-2</v>
      </c>
      <c r="P9" s="108">
        <f t="shared" si="0"/>
        <v>4.4117647058823532E-2</v>
      </c>
      <c r="Q9" s="108">
        <f t="shared" si="0"/>
        <v>4.4117647058823532E-2</v>
      </c>
      <c r="R9" s="108">
        <f t="shared" si="0"/>
        <v>4.4117647058823532E-2</v>
      </c>
      <c r="S9" s="108">
        <f t="shared" si="0"/>
        <v>4.4117647058823532E-2</v>
      </c>
      <c r="T9" s="108">
        <f t="shared" si="0"/>
        <v>4.4117647058823532E-2</v>
      </c>
      <c r="U9" s="108">
        <f t="shared" si="0"/>
        <v>4.4117647058823532E-2</v>
      </c>
      <c r="V9" s="109">
        <f>SUM(D9:U9)</f>
        <v>0.99999999999999956</v>
      </c>
      <c r="X9" s="110"/>
      <c r="Y9" s="109">
        <f>X9/23</f>
        <v>0</v>
      </c>
    </row>
    <row r="10" spans="1:25" s="37" customFormat="1" x14ac:dyDescent="0.2">
      <c r="A10" s="33"/>
      <c r="B10" s="33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09"/>
    </row>
    <row r="11" spans="1:25" s="106" customFormat="1" ht="12.75" customHeight="1" x14ac:dyDescent="0.2">
      <c r="A11" s="30"/>
      <c r="B11" s="30"/>
      <c r="C11" s="32"/>
      <c r="D11" s="111">
        <f>D9*$C$9</f>
        <v>21069.983499999998</v>
      </c>
      <c r="E11" s="111">
        <f t="shared" ref="E11:I11" si="1">E9*$C$9</f>
        <v>3718.2323823529409</v>
      </c>
      <c r="F11" s="112">
        <f t="shared" si="1"/>
        <v>3718.2323823529409</v>
      </c>
      <c r="G11" s="111">
        <f t="shared" si="1"/>
        <v>3718.2323823529409</v>
      </c>
      <c r="H11" s="111">
        <f t="shared" si="1"/>
        <v>3718.2323823529409</v>
      </c>
      <c r="I11" s="111">
        <f t="shared" si="1"/>
        <v>3718.2323823529409</v>
      </c>
      <c r="J11" s="111">
        <f>J9*$C$9</f>
        <v>3718.2323823529409</v>
      </c>
      <c r="K11" s="111">
        <f t="shared" ref="K11:O11" si="2">K9*$C$9</f>
        <v>3718.2323823529409</v>
      </c>
      <c r="L11" s="112">
        <f t="shared" si="2"/>
        <v>3718.2323823529409</v>
      </c>
      <c r="M11" s="111">
        <f t="shared" si="2"/>
        <v>3718.2323823529409</v>
      </c>
      <c r="N11" s="111">
        <f t="shared" si="2"/>
        <v>3718.2323823529409</v>
      </c>
      <c r="O11" s="111">
        <f t="shared" si="2"/>
        <v>3718.2323823529409</v>
      </c>
      <c r="P11" s="111">
        <f>P9*$C$9</f>
        <v>3718.2323823529409</v>
      </c>
      <c r="Q11" s="111">
        <f t="shared" ref="Q11:U11" si="3">Q9*$C$9</f>
        <v>3718.2323823529409</v>
      </c>
      <c r="R11" s="112">
        <f t="shared" si="3"/>
        <v>3718.2323823529409</v>
      </c>
      <c r="S11" s="111">
        <f t="shared" si="3"/>
        <v>3718.2323823529409</v>
      </c>
      <c r="T11" s="111">
        <f t="shared" si="3"/>
        <v>3718.2323823529409</v>
      </c>
      <c r="U11" s="111">
        <f t="shared" si="3"/>
        <v>3718.2323823529409</v>
      </c>
      <c r="V11" s="109"/>
      <c r="W11" s="117"/>
    </row>
    <row r="12" spans="1:25" s="106" customFormat="1" ht="12.75" customHeight="1" x14ac:dyDescent="0.2">
      <c r="A12" s="28"/>
      <c r="B12" s="28" t="s">
        <v>12</v>
      </c>
      <c r="C12" s="140">
        <v>350232.43400000001</v>
      </c>
      <c r="D12" s="108">
        <v>5.7995072815526525E-3</v>
      </c>
      <c r="E12" s="108">
        <v>1.7144514239488522E-2</v>
      </c>
      <c r="F12" s="108">
        <v>3.6372105918046432E-2</v>
      </c>
      <c r="G12" s="108">
        <v>3.6372105918046432E-2</v>
      </c>
      <c r="H12" s="108">
        <v>3.3047846103089112E-2</v>
      </c>
      <c r="I12" s="108">
        <v>4.6541309276303816E-2</v>
      </c>
      <c r="J12" s="108">
        <v>4.6541309276303816E-2</v>
      </c>
      <c r="K12" s="108">
        <v>7.0055690899199732E-2</v>
      </c>
      <c r="L12" s="108">
        <v>6.644060569261559E-2</v>
      </c>
      <c r="M12" s="108">
        <v>7.7593477399343247E-2</v>
      </c>
      <c r="N12" s="108">
        <v>5.8365885720785347E-2</v>
      </c>
      <c r="O12" s="108">
        <v>5.8365885720785347E-2</v>
      </c>
      <c r="P12" s="108">
        <v>9.7012759137411378E-2</v>
      </c>
      <c r="Q12" s="108">
        <v>9.7350293497832766E-2</v>
      </c>
      <c r="R12" s="108">
        <v>9.7350293497832766E-2</v>
      </c>
      <c r="S12" s="108">
        <v>8.4397229655722203E-2</v>
      </c>
      <c r="T12" s="108">
        <v>4.7550548374479071E-2</v>
      </c>
      <c r="U12" s="108">
        <v>2.3698632391161756E-2</v>
      </c>
      <c r="V12" s="109">
        <f>SUM(D12:U12)</f>
        <v>0.99999999999999989</v>
      </c>
      <c r="W12" s="113"/>
    </row>
    <row r="13" spans="1:25" s="106" customFormat="1" x14ac:dyDescent="0.2">
      <c r="A13" s="29"/>
      <c r="B13" s="29"/>
      <c r="C13" s="3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09"/>
    </row>
    <row r="14" spans="1:25" s="106" customFormat="1" ht="12.75" customHeight="1" x14ac:dyDescent="0.2">
      <c r="A14" s="30"/>
      <c r="B14" s="30"/>
      <c r="C14" s="32"/>
      <c r="D14" s="111">
        <f>D12*$C$12</f>
        <v>2031.1755512189088</v>
      </c>
      <c r="E14" s="111">
        <f>E12*$C$12</f>
        <v>6004.564951843724</v>
      </c>
      <c r="F14" s="111">
        <f t="shared" ref="F14:I14" si="4">F12*$C$12</f>
        <v>12738.691185383206</v>
      </c>
      <c r="G14" s="111">
        <f t="shared" si="4"/>
        <v>12738.691185383206</v>
      </c>
      <c r="H14" s="111">
        <f t="shared" si="4"/>
        <v>11574.427579142315</v>
      </c>
      <c r="I14" s="111">
        <f t="shared" si="4"/>
        <v>16300.276029386665</v>
      </c>
      <c r="J14" s="111">
        <f t="shared" ref="J14:O14" si="5">J12*$C$12</f>
        <v>16300.276029386665</v>
      </c>
      <c r="K14" s="111">
        <f t="shared" si="5"/>
        <v>24535.775139178371</v>
      </c>
      <c r="L14" s="111">
        <f t="shared" si="5"/>
        <v>23269.655048159013</v>
      </c>
      <c r="M14" s="111">
        <f t="shared" si="5"/>
        <v>27175.752452095978</v>
      </c>
      <c r="N14" s="111">
        <f t="shared" si="5"/>
        <v>20441.626218556496</v>
      </c>
      <c r="O14" s="111">
        <f t="shared" si="5"/>
        <v>20441.626218556496</v>
      </c>
      <c r="P14" s="111">
        <f t="shared" ref="P14:U14" si="6">P12*$C$12</f>
        <v>33977.014761751328</v>
      </c>
      <c r="Q14" s="111">
        <f t="shared" si="6"/>
        <v>34095.230242360347</v>
      </c>
      <c r="R14" s="111">
        <f t="shared" si="6"/>
        <v>34095.230242360347</v>
      </c>
      <c r="S14" s="111">
        <f t="shared" si="6"/>
        <v>29558.64716518057</v>
      </c>
      <c r="T14" s="111">
        <f t="shared" si="6"/>
        <v>16653.744295228549</v>
      </c>
      <c r="U14" s="111">
        <f t="shared" si="6"/>
        <v>8300.0297048278226</v>
      </c>
      <c r="V14" s="109"/>
      <c r="W14" s="117"/>
    </row>
    <row r="15" spans="1:25" s="106" customFormat="1" ht="15" customHeight="1" x14ac:dyDescent="0.2">
      <c r="A15" s="38" t="s">
        <v>87</v>
      </c>
      <c r="B15" s="39" t="s">
        <v>71</v>
      </c>
      <c r="C15" s="17"/>
      <c r="D15" s="17"/>
      <c r="E15" s="17"/>
      <c r="F15" s="17"/>
      <c r="G15" s="16"/>
      <c r="H15" s="16"/>
      <c r="I15" s="16"/>
      <c r="J15" s="17"/>
      <c r="K15" s="17"/>
      <c r="L15" s="17"/>
      <c r="M15" s="16"/>
      <c r="N15" s="16"/>
      <c r="O15" s="16"/>
      <c r="P15" s="17"/>
      <c r="Q15" s="17"/>
      <c r="R15" s="17"/>
      <c r="S15" s="16"/>
      <c r="T15" s="16"/>
      <c r="U15" s="16"/>
      <c r="V15" s="109"/>
    </row>
    <row r="16" spans="1:25" s="106" customFormat="1" ht="15" customHeight="1" x14ac:dyDescent="0.2">
      <c r="A16" s="38" t="s">
        <v>88</v>
      </c>
      <c r="B16" s="39" t="s">
        <v>89</v>
      </c>
      <c r="C16" s="17"/>
      <c r="D16" s="17"/>
      <c r="E16" s="17"/>
      <c r="F16" s="17"/>
      <c r="G16" s="16"/>
      <c r="H16" s="16"/>
      <c r="I16" s="16"/>
      <c r="J16" s="17"/>
      <c r="K16" s="17"/>
      <c r="L16" s="17"/>
      <c r="M16" s="16"/>
      <c r="N16" s="16"/>
      <c r="O16" s="16"/>
      <c r="P16" s="17"/>
      <c r="Q16" s="17"/>
      <c r="R16" s="17"/>
      <c r="S16" s="16"/>
      <c r="T16" s="16"/>
      <c r="U16" s="16"/>
      <c r="V16" s="109"/>
    </row>
    <row r="17" spans="1:23" s="106" customFormat="1" ht="12.75" customHeight="1" x14ac:dyDescent="0.2">
      <c r="A17" s="28" t="s">
        <v>90</v>
      </c>
      <c r="B17" s="28" t="s">
        <v>91</v>
      </c>
      <c r="C17" s="140">
        <v>10015.99</v>
      </c>
      <c r="D17" s="108">
        <f>1/4</f>
        <v>0.25</v>
      </c>
      <c r="E17" s="108">
        <f>1/4</f>
        <v>0.25</v>
      </c>
      <c r="F17" s="108">
        <f>1/4</f>
        <v>0.25</v>
      </c>
      <c r="G17" s="108">
        <f>1/4</f>
        <v>0.25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9">
        <f>SUM(D17:U17)</f>
        <v>1</v>
      </c>
    </row>
    <row r="18" spans="1:23" s="106" customFormat="1" x14ac:dyDescent="0.2">
      <c r="A18" s="29"/>
      <c r="B18" s="29"/>
      <c r="C18" s="3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09"/>
    </row>
    <row r="19" spans="1:23" s="106" customFormat="1" ht="12.75" customHeight="1" x14ac:dyDescent="0.2">
      <c r="A19" s="30"/>
      <c r="B19" s="30"/>
      <c r="C19" s="32"/>
      <c r="D19" s="111">
        <f>D17*$C$17</f>
        <v>2503.9974999999999</v>
      </c>
      <c r="E19" s="111">
        <f t="shared" ref="E19" si="7">E17*$C$17</f>
        <v>2503.9974999999999</v>
      </c>
      <c r="F19" s="111">
        <f t="shared" ref="F19:U19" si="8">F17*$C$17</f>
        <v>2503.9974999999999</v>
      </c>
      <c r="G19" s="111">
        <f t="shared" si="8"/>
        <v>2503.9974999999999</v>
      </c>
      <c r="H19" s="111">
        <f t="shared" si="8"/>
        <v>0</v>
      </c>
      <c r="I19" s="111">
        <f t="shared" si="8"/>
        <v>0</v>
      </c>
      <c r="J19" s="111">
        <f t="shared" si="8"/>
        <v>0</v>
      </c>
      <c r="K19" s="111">
        <f t="shared" si="8"/>
        <v>0</v>
      </c>
      <c r="L19" s="111">
        <f t="shared" si="8"/>
        <v>0</v>
      </c>
      <c r="M19" s="111">
        <f t="shared" si="8"/>
        <v>0</v>
      </c>
      <c r="N19" s="111">
        <f t="shared" si="8"/>
        <v>0</v>
      </c>
      <c r="O19" s="111">
        <f t="shared" si="8"/>
        <v>0</v>
      </c>
      <c r="P19" s="111">
        <f t="shared" si="8"/>
        <v>0</v>
      </c>
      <c r="Q19" s="111">
        <f t="shared" si="8"/>
        <v>0</v>
      </c>
      <c r="R19" s="111">
        <f t="shared" si="8"/>
        <v>0</v>
      </c>
      <c r="S19" s="111">
        <f t="shared" si="8"/>
        <v>0</v>
      </c>
      <c r="T19" s="111">
        <f t="shared" si="8"/>
        <v>0</v>
      </c>
      <c r="U19" s="111">
        <f t="shared" si="8"/>
        <v>0</v>
      </c>
      <c r="V19" s="109"/>
      <c r="W19" s="117"/>
    </row>
    <row r="20" spans="1:23" s="106" customFormat="1" ht="12.75" customHeight="1" x14ac:dyDescent="0.2">
      <c r="A20" s="28" t="s">
        <v>92</v>
      </c>
      <c r="B20" s="28" t="s">
        <v>93</v>
      </c>
      <c r="C20" s="140">
        <v>1043662.1700000002</v>
      </c>
      <c r="D20" s="108">
        <v>0</v>
      </c>
      <c r="E20" s="108">
        <f t="shared" ref="E20" si="9">0.5/11</f>
        <v>4.5454545454545456E-2</v>
      </c>
      <c r="F20" s="108">
        <f>0.5/11</f>
        <v>4.5454545454545456E-2</v>
      </c>
      <c r="G20" s="108">
        <f t="shared" ref="G20:L20" si="10">0.5/11</f>
        <v>4.5454545454545456E-2</v>
      </c>
      <c r="H20" s="108">
        <f t="shared" si="10"/>
        <v>4.5454545454545456E-2</v>
      </c>
      <c r="I20" s="108">
        <f t="shared" si="10"/>
        <v>4.5454545454545456E-2</v>
      </c>
      <c r="J20" s="108">
        <f t="shared" si="10"/>
        <v>4.5454545454545456E-2</v>
      </c>
      <c r="K20" s="108">
        <f t="shared" si="10"/>
        <v>4.5454545454545456E-2</v>
      </c>
      <c r="L20" s="108">
        <f t="shared" si="10"/>
        <v>4.5454545454545456E-2</v>
      </c>
      <c r="M20" s="108">
        <f>0.5/6</f>
        <v>8.3333333333333329E-2</v>
      </c>
      <c r="N20" s="108">
        <f t="shared" ref="N20:R20" si="11">0.5/6</f>
        <v>8.3333333333333329E-2</v>
      </c>
      <c r="O20" s="108">
        <f t="shared" si="11"/>
        <v>8.3333333333333329E-2</v>
      </c>
      <c r="P20" s="108">
        <f t="shared" si="11"/>
        <v>8.3333333333333329E-2</v>
      </c>
      <c r="Q20" s="108">
        <f t="shared" si="11"/>
        <v>8.3333333333333329E-2</v>
      </c>
      <c r="R20" s="108">
        <f t="shared" si="11"/>
        <v>8.3333333333333329E-2</v>
      </c>
      <c r="S20" s="108">
        <f t="shared" ref="S20:U20" si="12">0.5/11</f>
        <v>4.5454545454545456E-2</v>
      </c>
      <c r="T20" s="108">
        <f t="shared" si="12"/>
        <v>4.5454545454545456E-2</v>
      </c>
      <c r="U20" s="108">
        <f t="shared" si="12"/>
        <v>4.5454545454545456E-2</v>
      </c>
      <c r="V20" s="109">
        <f>SUM(D20:U20)</f>
        <v>1.0000000000000002</v>
      </c>
    </row>
    <row r="21" spans="1:23" s="106" customFormat="1" x14ac:dyDescent="0.2">
      <c r="A21" s="29"/>
      <c r="B21" s="29"/>
      <c r="C21" s="3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09"/>
    </row>
    <row r="22" spans="1:23" s="106" customFormat="1" ht="12.75" customHeight="1" x14ac:dyDescent="0.2">
      <c r="A22" s="30"/>
      <c r="B22" s="30"/>
      <c r="C22" s="32"/>
      <c r="D22" s="111">
        <f>D20*$C$20</f>
        <v>0</v>
      </c>
      <c r="E22" s="111">
        <f t="shared" ref="E22:I22" si="13">E20*$C$20</f>
        <v>47439.189545454552</v>
      </c>
      <c r="F22" s="111">
        <f t="shared" si="13"/>
        <v>47439.189545454552</v>
      </c>
      <c r="G22" s="111">
        <f t="shared" si="13"/>
        <v>47439.189545454552</v>
      </c>
      <c r="H22" s="111">
        <f t="shared" si="13"/>
        <v>47439.189545454552</v>
      </c>
      <c r="I22" s="111">
        <f t="shared" si="13"/>
        <v>47439.189545454552</v>
      </c>
      <c r="J22" s="111">
        <f>J20*$C$20</f>
        <v>47439.189545454552</v>
      </c>
      <c r="K22" s="111">
        <f t="shared" ref="K22:O22" si="14">K20*$C$20</f>
        <v>47439.189545454552</v>
      </c>
      <c r="L22" s="111">
        <f t="shared" si="14"/>
        <v>47439.189545454552</v>
      </c>
      <c r="M22" s="111">
        <f t="shared" si="14"/>
        <v>86971.847500000003</v>
      </c>
      <c r="N22" s="111">
        <f t="shared" si="14"/>
        <v>86971.847500000003</v>
      </c>
      <c r="O22" s="111">
        <f t="shared" si="14"/>
        <v>86971.847500000003</v>
      </c>
      <c r="P22" s="111">
        <f>P20*$C$20</f>
        <v>86971.847500000003</v>
      </c>
      <c r="Q22" s="111">
        <f t="shared" ref="Q22:U22" si="15">Q20*$C$20</f>
        <v>86971.847500000003</v>
      </c>
      <c r="R22" s="111">
        <f t="shared" si="15"/>
        <v>86971.847500000003</v>
      </c>
      <c r="S22" s="111">
        <f t="shared" si="15"/>
        <v>47439.189545454552</v>
      </c>
      <c r="T22" s="111">
        <f t="shared" si="15"/>
        <v>47439.189545454552</v>
      </c>
      <c r="U22" s="111">
        <f t="shared" si="15"/>
        <v>47439.189545454552</v>
      </c>
      <c r="V22" s="109"/>
      <c r="W22" s="117"/>
    </row>
    <row r="23" spans="1:23" s="106" customFormat="1" ht="15" customHeight="1" x14ac:dyDescent="0.2">
      <c r="A23" s="38" t="s">
        <v>95</v>
      </c>
      <c r="B23" s="39" t="s">
        <v>94</v>
      </c>
      <c r="C23" s="17"/>
      <c r="D23" s="17"/>
      <c r="E23" s="17"/>
      <c r="F23" s="17"/>
      <c r="G23" s="16"/>
      <c r="H23" s="16"/>
      <c r="I23" s="16"/>
      <c r="J23" s="17"/>
      <c r="K23" s="17"/>
      <c r="L23" s="17"/>
      <c r="M23" s="16"/>
      <c r="N23" s="16"/>
      <c r="O23" s="16"/>
      <c r="P23" s="17"/>
      <c r="Q23" s="17"/>
      <c r="R23" s="17"/>
      <c r="S23" s="16"/>
      <c r="T23" s="16"/>
      <c r="U23" s="16"/>
      <c r="V23" s="109"/>
    </row>
    <row r="24" spans="1:23" s="106" customFormat="1" ht="12.75" customHeight="1" x14ac:dyDescent="0.2">
      <c r="A24" s="28" t="s">
        <v>96</v>
      </c>
      <c r="B24" s="28" t="s">
        <v>98</v>
      </c>
      <c r="C24" s="140">
        <v>103172.03999999998</v>
      </c>
      <c r="D24" s="108">
        <f>1/4</f>
        <v>0.25</v>
      </c>
      <c r="E24" s="108">
        <f>1/4</f>
        <v>0.25</v>
      </c>
      <c r="F24" s="108">
        <f>1/4</f>
        <v>0.25</v>
      </c>
      <c r="G24" s="108">
        <f>1/4</f>
        <v>0.25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9">
        <f>SUM(D24:U24)</f>
        <v>1</v>
      </c>
    </row>
    <row r="25" spans="1:23" s="106" customFormat="1" x14ac:dyDescent="0.2">
      <c r="A25" s="29"/>
      <c r="B25" s="29"/>
      <c r="C25" s="3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09"/>
    </row>
    <row r="26" spans="1:23" s="106" customFormat="1" ht="12.75" customHeight="1" x14ac:dyDescent="0.2">
      <c r="A26" s="30"/>
      <c r="B26" s="30"/>
      <c r="C26" s="32"/>
      <c r="D26" s="111">
        <f>D24*$C$24</f>
        <v>25793.009999999995</v>
      </c>
      <c r="E26" s="111">
        <f t="shared" ref="E26:U26" si="16">E24*$C$24</f>
        <v>25793.009999999995</v>
      </c>
      <c r="F26" s="111">
        <f t="shared" si="16"/>
        <v>25793.009999999995</v>
      </c>
      <c r="G26" s="111">
        <f t="shared" si="16"/>
        <v>25793.009999999995</v>
      </c>
      <c r="H26" s="111">
        <f t="shared" si="16"/>
        <v>0</v>
      </c>
      <c r="I26" s="111">
        <f t="shared" si="16"/>
        <v>0</v>
      </c>
      <c r="J26" s="111">
        <f t="shared" si="16"/>
        <v>0</v>
      </c>
      <c r="K26" s="111">
        <f t="shared" si="16"/>
        <v>0</v>
      </c>
      <c r="L26" s="111">
        <f t="shared" si="16"/>
        <v>0</v>
      </c>
      <c r="M26" s="111">
        <f t="shared" si="16"/>
        <v>0</v>
      </c>
      <c r="N26" s="111">
        <f t="shared" si="16"/>
        <v>0</v>
      </c>
      <c r="O26" s="111">
        <f t="shared" si="16"/>
        <v>0</v>
      </c>
      <c r="P26" s="111">
        <f t="shared" si="16"/>
        <v>0</v>
      </c>
      <c r="Q26" s="111">
        <f t="shared" si="16"/>
        <v>0</v>
      </c>
      <c r="R26" s="111">
        <f t="shared" si="16"/>
        <v>0</v>
      </c>
      <c r="S26" s="111">
        <f t="shared" si="16"/>
        <v>0</v>
      </c>
      <c r="T26" s="111">
        <f t="shared" si="16"/>
        <v>0</v>
      </c>
      <c r="U26" s="111">
        <f t="shared" si="16"/>
        <v>0</v>
      </c>
      <c r="V26" s="109"/>
      <c r="W26" s="117"/>
    </row>
    <row r="27" spans="1:23" s="106" customFormat="1" ht="12.75" customHeight="1" x14ac:dyDescent="0.2">
      <c r="A27" s="28" t="s">
        <v>97</v>
      </c>
      <c r="B27" s="28" t="s">
        <v>93</v>
      </c>
      <c r="C27" s="140">
        <v>1462655.8900000004</v>
      </c>
      <c r="D27" s="108">
        <v>0</v>
      </c>
      <c r="E27" s="108">
        <f t="shared" ref="E27:L27" si="17">0.5/11</f>
        <v>4.5454545454545456E-2</v>
      </c>
      <c r="F27" s="108">
        <f t="shared" si="17"/>
        <v>4.5454545454545456E-2</v>
      </c>
      <c r="G27" s="108">
        <f t="shared" si="17"/>
        <v>4.5454545454545456E-2</v>
      </c>
      <c r="H27" s="108">
        <f t="shared" si="17"/>
        <v>4.5454545454545456E-2</v>
      </c>
      <c r="I27" s="108">
        <f t="shared" si="17"/>
        <v>4.5454545454545456E-2</v>
      </c>
      <c r="J27" s="108">
        <f t="shared" si="17"/>
        <v>4.5454545454545456E-2</v>
      </c>
      <c r="K27" s="108">
        <f t="shared" si="17"/>
        <v>4.5454545454545456E-2</v>
      </c>
      <c r="L27" s="108">
        <f t="shared" si="17"/>
        <v>4.5454545454545456E-2</v>
      </c>
      <c r="M27" s="108">
        <f>0.5/6</f>
        <v>8.3333333333333329E-2</v>
      </c>
      <c r="N27" s="108">
        <f t="shared" ref="N27:R27" si="18">0.5/6</f>
        <v>8.3333333333333329E-2</v>
      </c>
      <c r="O27" s="108">
        <f t="shared" si="18"/>
        <v>8.3333333333333329E-2</v>
      </c>
      <c r="P27" s="108">
        <f t="shared" si="18"/>
        <v>8.3333333333333329E-2</v>
      </c>
      <c r="Q27" s="108">
        <f t="shared" si="18"/>
        <v>8.3333333333333329E-2</v>
      </c>
      <c r="R27" s="108">
        <f t="shared" si="18"/>
        <v>8.3333333333333329E-2</v>
      </c>
      <c r="S27" s="108">
        <f t="shared" ref="S27:U27" si="19">0.5/11</f>
        <v>4.5454545454545456E-2</v>
      </c>
      <c r="T27" s="108">
        <f t="shared" si="19"/>
        <v>4.5454545454545456E-2</v>
      </c>
      <c r="U27" s="108">
        <f t="shared" si="19"/>
        <v>4.5454545454545456E-2</v>
      </c>
      <c r="V27" s="109">
        <f>SUM(D27:U27)</f>
        <v>1.0000000000000002</v>
      </c>
    </row>
    <row r="28" spans="1:23" s="106" customFormat="1" x14ac:dyDescent="0.2">
      <c r="A28" s="29"/>
      <c r="B28" s="29"/>
      <c r="C28" s="3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09"/>
    </row>
    <row r="29" spans="1:23" s="106" customFormat="1" ht="12.75" customHeight="1" x14ac:dyDescent="0.2">
      <c r="A29" s="30"/>
      <c r="B29" s="30"/>
      <c r="C29" s="32"/>
      <c r="D29" s="111">
        <f>D27*$C$27</f>
        <v>0</v>
      </c>
      <c r="E29" s="111">
        <f t="shared" ref="E29:U29" si="20">E27*$C$27</f>
        <v>66484.358636363657</v>
      </c>
      <c r="F29" s="111">
        <f t="shared" si="20"/>
        <v>66484.358636363657</v>
      </c>
      <c r="G29" s="111">
        <f t="shared" si="20"/>
        <v>66484.358636363657</v>
      </c>
      <c r="H29" s="111">
        <f t="shared" si="20"/>
        <v>66484.358636363657</v>
      </c>
      <c r="I29" s="111">
        <f t="shared" si="20"/>
        <v>66484.358636363657</v>
      </c>
      <c r="J29" s="111">
        <f t="shared" si="20"/>
        <v>66484.358636363657</v>
      </c>
      <c r="K29" s="111">
        <f t="shared" si="20"/>
        <v>66484.358636363657</v>
      </c>
      <c r="L29" s="111">
        <f t="shared" si="20"/>
        <v>66484.358636363657</v>
      </c>
      <c r="M29" s="111">
        <f t="shared" si="20"/>
        <v>121887.99083333336</v>
      </c>
      <c r="N29" s="111">
        <f t="shared" si="20"/>
        <v>121887.99083333336</v>
      </c>
      <c r="O29" s="111">
        <f t="shared" si="20"/>
        <v>121887.99083333336</v>
      </c>
      <c r="P29" s="111">
        <f t="shared" si="20"/>
        <v>121887.99083333336</v>
      </c>
      <c r="Q29" s="111">
        <f t="shared" si="20"/>
        <v>121887.99083333336</v>
      </c>
      <c r="R29" s="111">
        <f t="shared" si="20"/>
        <v>121887.99083333336</v>
      </c>
      <c r="S29" s="111">
        <f t="shared" si="20"/>
        <v>66484.358636363657</v>
      </c>
      <c r="T29" s="111">
        <f t="shared" si="20"/>
        <v>66484.358636363657</v>
      </c>
      <c r="U29" s="111">
        <f t="shared" si="20"/>
        <v>66484.358636363657</v>
      </c>
      <c r="V29" s="109"/>
      <c r="W29" s="117"/>
    </row>
    <row r="30" spans="1:23" s="106" customFormat="1" ht="15" customHeight="1" x14ac:dyDescent="0.2">
      <c r="A30" s="38" t="s">
        <v>99</v>
      </c>
      <c r="B30" s="39" t="s">
        <v>100</v>
      </c>
      <c r="C30" s="17"/>
      <c r="D30" s="17"/>
      <c r="E30" s="17"/>
      <c r="F30" s="17"/>
      <c r="G30" s="16"/>
      <c r="H30" s="16"/>
      <c r="I30" s="16"/>
      <c r="J30" s="17"/>
      <c r="K30" s="17"/>
      <c r="L30" s="17"/>
      <c r="M30" s="16"/>
      <c r="N30" s="16"/>
      <c r="O30" s="16"/>
      <c r="P30" s="17"/>
      <c r="Q30" s="17"/>
      <c r="R30" s="17"/>
      <c r="S30" s="16"/>
      <c r="T30" s="16"/>
      <c r="U30" s="16"/>
      <c r="V30" s="109"/>
    </row>
    <row r="31" spans="1:23" s="106" customFormat="1" ht="12.75" customHeight="1" x14ac:dyDescent="0.2">
      <c r="A31" s="28" t="s">
        <v>99</v>
      </c>
      <c r="B31" s="28" t="s">
        <v>100</v>
      </c>
      <c r="C31" s="140">
        <v>2588671.9499999997</v>
      </c>
      <c r="D31" s="108">
        <v>0</v>
      </c>
      <c r="E31" s="108"/>
      <c r="F31" s="108"/>
      <c r="G31" s="108"/>
      <c r="H31" s="108"/>
      <c r="I31" s="108"/>
      <c r="J31" s="108">
        <v>0</v>
      </c>
      <c r="K31" s="108">
        <f>0.4/6</f>
        <v>6.6666666666666666E-2</v>
      </c>
      <c r="L31" s="108">
        <f t="shared" ref="L31:O31" si="21">0.4/6</f>
        <v>6.6666666666666666E-2</v>
      </c>
      <c r="M31" s="108">
        <f t="shared" si="21"/>
        <v>6.6666666666666666E-2</v>
      </c>
      <c r="N31" s="108">
        <f t="shared" si="21"/>
        <v>6.6666666666666666E-2</v>
      </c>
      <c r="O31" s="108">
        <f t="shared" si="21"/>
        <v>6.6666666666666666E-2</v>
      </c>
      <c r="P31" s="108">
        <f>0.6/4</f>
        <v>0.15</v>
      </c>
      <c r="Q31" s="108">
        <f t="shared" ref="Q31:S31" si="22">0.6/4</f>
        <v>0.15</v>
      </c>
      <c r="R31" s="108">
        <f t="shared" si="22"/>
        <v>0.15</v>
      </c>
      <c r="S31" s="108">
        <f t="shared" si="22"/>
        <v>0.15</v>
      </c>
      <c r="T31" s="108">
        <f>0.4/6</f>
        <v>6.6666666666666666E-2</v>
      </c>
      <c r="U31" s="108"/>
      <c r="V31" s="109">
        <f>SUM(D31:U31)</f>
        <v>1</v>
      </c>
    </row>
    <row r="32" spans="1:23" s="106" customFormat="1" x14ac:dyDescent="0.2">
      <c r="A32" s="29"/>
      <c r="B32" s="29"/>
      <c r="C32" s="3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09"/>
    </row>
    <row r="33" spans="1:22" s="106" customFormat="1" ht="12.75" customHeight="1" x14ac:dyDescent="0.2">
      <c r="A33" s="30"/>
      <c r="B33" s="30"/>
      <c r="C33" s="32"/>
      <c r="D33" s="111">
        <f t="shared" ref="D33:U33" si="23">D31*$C$31</f>
        <v>0</v>
      </c>
      <c r="E33" s="111">
        <f t="shared" si="23"/>
        <v>0</v>
      </c>
      <c r="F33" s="111">
        <f t="shared" si="23"/>
        <v>0</v>
      </c>
      <c r="G33" s="111">
        <f t="shared" si="23"/>
        <v>0</v>
      </c>
      <c r="H33" s="111">
        <f t="shared" si="23"/>
        <v>0</v>
      </c>
      <c r="I33" s="111">
        <f t="shared" si="23"/>
        <v>0</v>
      </c>
      <c r="J33" s="111">
        <f t="shared" si="23"/>
        <v>0</v>
      </c>
      <c r="K33" s="111">
        <f t="shared" si="23"/>
        <v>172578.12999999998</v>
      </c>
      <c r="L33" s="111">
        <f t="shared" si="23"/>
        <v>172578.12999999998</v>
      </c>
      <c r="M33" s="111">
        <f t="shared" si="23"/>
        <v>172578.12999999998</v>
      </c>
      <c r="N33" s="111">
        <f t="shared" si="23"/>
        <v>172578.12999999998</v>
      </c>
      <c r="O33" s="111">
        <f t="shared" si="23"/>
        <v>172578.12999999998</v>
      </c>
      <c r="P33" s="111">
        <f t="shared" si="23"/>
        <v>388300.79249999992</v>
      </c>
      <c r="Q33" s="111">
        <f t="shared" si="23"/>
        <v>388300.79249999992</v>
      </c>
      <c r="R33" s="111">
        <f t="shared" si="23"/>
        <v>388300.79249999992</v>
      </c>
      <c r="S33" s="111">
        <f t="shared" si="23"/>
        <v>388300.79249999992</v>
      </c>
      <c r="T33" s="111">
        <f t="shared" si="23"/>
        <v>172578.12999999998</v>
      </c>
      <c r="U33" s="111">
        <f t="shared" si="23"/>
        <v>0</v>
      </c>
      <c r="V33" s="109"/>
    </row>
    <row r="34" spans="1:22" s="106" customFormat="1" ht="12.75" customHeight="1" x14ac:dyDescent="0.2">
      <c r="A34" s="38" t="s">
        <v>102</v>
      </c>
      <c r="B34" s="39" t="s">
        <v>13</v>
      </c>
      <c r="C34" s="1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09"/>
    </row>
    <row r="35" spans="1:22" s="106" customFormat="1" ht="12.75" customHeight="1" x14ac:dyDescent="0.2">
      <c r="A35" s="28" t="s">
        <v>101</v>
      </c>
      <c r="B35" s="28" t="s">
        <v>89</v>
      </c>
      <c r="C35" s="140">
        <v>179895.63</v>
      </c>
      <c r="D35" s="108">
        <v>0</v>
      </c>
      <c r="E35" s="108">
        <v>0</v>
      </c>
      <c r="F35" s="108">
        <f>0.5/5</f>
        <v>0.1</v>
      </c>
      <c r="G35" s="108">
        <f>0.5/5</f>
        <v>0.1</v>
      </c>
      <c r="H35" s="108">
        <f>0.5/5</f>
        <v>0.1</v>
      </c>
      <c r="I35" s="108">
        <f>0.5/3</f>
        <v>0.16666666666666666</v>
      </c>
      <c r="J35" s="108">
        <f>0.5/3</f>
        <v>0.16666666666666666</v>
      </c>
      <c r="K35" s="108">
        <f>0.5/3</f>
        <v>0.16666666666666666</v>
      </c>
      <c r="L35" s="108">
        <f>0.5/5</f>
        <v>0.1</v>
      </c>
      <c r="M35" s="108">
        <f>0.5/5</f>
        <v>0.1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9">
        <f>SUM(D35:U35)</f>
        <v>0.99999999999999989</v>
      </c>
    </row>
    <row r="36" spans="1:22" s="106" customFormat="1" x14ac:dyDescent="0.2">
      <c r="A36" s="29"/>
      <c r="B36" s="29"/>
      <c r="C36" s="3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09"/>
    </row>
    <row r="37" spans="1:22" s="106" customFormat="1" ht="12.75" customHeight="1" x14ac:dyDescent="0.2">
      <c r="A37" s="30"/>
      <c r="B37" s="30"/>
      <c r="C37" s="32"/>
      <c r="D37" s="111">
        <f>D35*$C$35</f>
        <v>0</v>
      </c>
      <c r="E37" s="111">
        <f t="shared" ref="E37:U37" si="24">E35*$C$35</f>
        <v>0</v>
      </c>
      <c r="F37" s="111">
        <f t="shared" si="24"/>
        <v>17989.563000000002</v>
      </c>
      <c r="G37" s="111">
        <f t="shared" si="24"/>
        <v>17989.563000000002</v>
      </c>
      <c r="H37" s="111">
        <f t="shared" si="24"/>
        <v>17989.563000000002</v>
      </c>
      <c r="I37" s="111">
        <f t="shared" si="24"/>
        <v>29982.605</v>
      </c>
      <c r="J37" s="111">
        <f t="shared" si="24"/>
        <v>29982.605</v>
      </c>
      <c r="K37" s="111">
        <f t="shared" si="24"/>
        <v>29982.605</v>
      </c>
      <c r="L37" s="111">
        <f t="shared" si="24"/>
        <v>17989.563000000002</v>
      </c>
      <c r="M37" s="111">
        <f t="shared" si="24"/>
        <v>17989.563000000002</v>
      </c>
      <c r="N37" s="111">
        <f t="shared" si="24"/>
        <v>0</v>
      </c>
      <c r="O37" s="111">
        <f t="shared" si="24"/>
        <v>0</v>
      </c>
      <c r="P37" s="111">
        <f t="shared" si="24"/>
        <v>0</v>
      </c>
      <c r="Q37" s="111">
        <f t="shared" si="24"/>
        <v>0</v>
      </c>
      <c r="R37" s="111">
        <f t="shared" si="24"/>
        <v>0</v>
      </c>
      <c r="S37" s="111">
        <f t="shared" si="24"/>
        <v>0</v>
      </c>
      <c r="T37" s="111">
        <f t="shared" si="24"/>
        <v>0</v>
      </c>
      <c r="U37" s="111">
        <f t="shared" si="24"/>
        <v>0</v>
      </c>
      <c r="V37" s="109"/>
    </row>
    <row r="38" spans="1:22" s="106" customFormat="1" ht="12.75" customHeight="1" x14ac:dyDescent="0.2">
      <c r="A38" s="28" t="s">
        <v>103</v>
      </c>
      <c r="B38" s="28" t="s">
        <v>104</v>
      </c>
      <c r="C38" s="140">
        <v>1456809.4900000009</v>
      </c>
      <c r="D38" s="108">
        <v>0</v>
      </c>
      <c r="E38" s="108">
        <v>0</v>
      </c>
      <c r="F38" s="108">
        <f>0.5/5</f>
        <v>0.1</v>
      </c>
      <c r="G38" s="108">
        <f>0.5/5</f>
        <v>0.1</v>
      </c>
      <c r="H38" s="108">
        <f>0.5/5</f>
        <v>0.1</v>
      </c>
      <c r="I38" s="108">
        <f>0.5/3</f>
        <v>0.16666666666666666</v>
      </c>
      <c r="J38" s="108">
        <f>0.5/3</f>
        <v>0.16666666666666666</v>
      </c>
      <c r="K38" s="108">
        <f>0.5/3</f>
        <v>0.16666666666666666</v>
      </c>
      <c r="L38" s="108">
        <f>0.5/5</f>
        <v>0.1</v>
      </c>
      <c r="M38" s="108">
        <f>0.5/5</f>
        <v>0.1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08">
        <v>0</v>
      </c>
      <c r="U38" s="108">
        <v>0</v>
      </c>
      <c r="V38" s="109">
        <f>SUM(D38:U38)</f>
        <v>0.99999999999999989</v>
      </c>
    </row>
    <row r="39" spans="1:22" s="106" customFormat="1" x14ac:dyDescent="0.2">
      <c r="A39" s="29"/>
      <c r="B39" s="29"/>
      <c r="C39" s="3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09"/>
    </row>
    <row r="40" spans="1:22" s="106" customFormat="1" ht="12.75" customHeight="1" x14ac:dyDescent="0.2">
      <c r="A40" s="30"/>
      <c r="B40" s="30"/>
      <c r="C40" s="32"/>
      <c r="D40" s="111">
        <f>D38*$C$38</f>
        <v>0</v>
      </c>
      <c r="E40" s="111">
        <f t="shared" ref="E40:U40" si="25">E38*$C$38</f>
        <v>0</v>
      </c>
      <c r="F40" s="111">
        <f t="shared" si="25"/>
        <v>145680.94900000011</v>
      </c>
      <c r="G40" s="111">
        <f t="shared" si="25"/>
        <v>145680.94900000011</v>
      </c>
      <c r="H40" s="111">
        <f t="shared" si="25"/>
        <v>145680.94900000011</v>
      </c>
      <c r="I40" s="111">
        <f t="shared" si="25"/>
        <v>242801.58166666681</v>
      </c>
      <c r="J40" s="111">
        <f t="shared" si="25"/>
        <v>242801.58166666681</v>
      </c>
      <c r="K40" s="111">
        <f t="shared" si="25"/>
        <v>242801.58166666681</v>
      </c>
      <c r="L40" s="111">
        <f t="shared" si="25"/>
        <v>145680.94900000011</v>
      </c>
      <c r="M40" s="111">
        <f t="shared" si="25"/>
        <v>145680.94900000011</v>
      </c>
      <c r="N40" s="111">
        <f t="shared" si="25"/>
        <v>0</v>
      </c>
      <c r="O40" s="111">
        <f t="shared" si="25"/>
        <v>0</v>
      </c>
      <c r="P40" s="111">
        <f t="shared" si="25"/>
        <v>0</v>
      </c>
      <c r="Q40" s="111">
        <f t="shared" si="25"/>
        <v>0</v>
      </c>
      <c r="R40" s="111">
        <f t="shared" si="25"/>
        <v>0</v>
      </c>
      <c r="S40" s="111">
        <f t="shared" si="25"/>
        <v>0</v>
      </c>
      <c r="T40" s="111">
        <f t="shared" si="25"/>
        <v>0</v>
      </c>
      <c r="U40" s="111">
        <f t="shared" si="25"/>
        <v>0</v>
      </c>
      <c r="V40" s="109"/>
    </row>
    <row r="41" spans="1:22" s="106" customFormat="1" ht="12.75" customHeight="1" x14ac:dyDescent="0.2">
      <c r="A41" s="38" t="s">
        <v>105</v>
      </c>
      <c r="B41" s="39" t="s">
        <v>106</v>
      </c>
      <c r="C41" s="17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09"/>
    </row>
    <row r="42" spans="1:22" s="106" customFormat="1" ht="12.75" customHeight="1" x14ac:dyDescent="0.2">
      <c r="A42" s="28" t="s">
        <v>105</v>
      </c>
      <c r="B42" s="28" t="s">
        <v>106</v>
      </c>
      <c r="C42" s="140">
        <v>321798.26999999996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f>0.6/7</f>
        <v>8.5714285714285715E-2</v>
      </c>
      <c r="L42" s="108">
        <f t="shared" ref="L42:O42" si="26">0.6/7</f>
        <v>8.5714285714285715E-2</v>
      </c>
      <c r="M42" s="108">
        <f t="shared" si="26"/>
        <v>8.5714285714285715E-2</v>
      </c>
      <c r="N42" s="108">
        <f t="shared" si="26"/>
        <v>8.5714285714285715E-2</v>
      </c>
      <c r="O42" s="108">
        <f t="shared" si="26"/>
        <v>8.5714285714285715E-2</v>
      </c>
      <c r="P42" s="108">
        <f>0.4/3</f>
        <v>0.13333333333333333</v>
      </c>
      <c r="Q42" s="108">
        <f t="shared" ref="Q42:R42" si="27">0.4/3</f>
        <v>0.13333333333333333</v>
      </c>
      <c r="R42" s="108">
        <f t="shared" si="27"/>
        <v>0.13333333333333333</v>
      </c>
      <c r="S42" s="108">
        <f t="shared" ref="S42:T42" si="28">0.6/7</f>
        <v>8.5714285714285715E-2</v>
      </c>
      <c r="T42" s="108">
        <f t="shared" si="28"/>
        <v>8.5714285714285715E-2</v>
      </c>
      <c r="U42" s="108">
        <v>0</v>
      </c>
      <c r="V42" s="109">
        <f>SUM(D42:U42)</f>
        <v>1</v>
      </c>
    </row>
    <row r="43" spans="1:22" s="106" customFormat="1" x14ac:dyDescent="0.2">
      <c r="A43" s="29"/>
      <c r="B43" s="29"/>
      <c r="C43" s="3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09"/>
    </row>
    <row r="44" spans="1:22" s="106" customFormat="1" ht="12.75" customHeight="1" x14ac:dyDescent="0.2">
      <c r="A44" s="30"/>
      <c r="B44" s="30"/>
      <c r="C44" s="32"/>
      <c r="D44" s="115">
        <f t="shared" ref="D44:I44" si="29">D42*$C$42</f>
        <v>0</v>
      </c>
      <c r="E44" s="115">
        <f t="shared" si="29"/>
        <v>0</v>
      </c>
      <c r="F44" s="115">
        <f t="shared" si="29"/>
        <v>0</v>
      </c>
      <c r="G44" s="115">
        <f t="shared" si="29"/>
        <v>0</v>
      </c>
      <c r="H44" s="115">
        <f t="shared" si="29"/>
        <v>0</v>
      </c>
      <c r="I44" s="115">
        <f t="shared" si="29"/>
        <v>0</v>
      </c>
      <c r="J44" s="115">
        <f t="shared" ref="J44:T44" si="30">J42*$C$42</f>
        <v>0</v>
      </c>
      <c r="K44" s="115">
        <f t="shared" si="30"/>
        <v>27582.708857142854</v>
      </c>
      <c r="L44" s="115">
        <f t="shared" si="30"/>
        <v>27582.708857142854</v>
      </c>
      <c r="M44" s="115">
        <f t="shared" si="30"/>
        <v>27582.708857142854</v>
      </c>
      <c r="N44" s="115">
        <f t="shared" si="30"/>
        <v>27582.708857142854</v>
      </c>
      <c r="O44" s="115">
        <f t="shared" si="30"/>
        <v>27582.708857142854</v>
      </c>
      <c r="P44" s="115">
        <f t="shared" si="30"/>
        <v>42906.435999999994</v>
      </c>
      <c r="Q44" s="115">
        <f t="shared" si="30"/>
        <v>42906.435999999994</v>
      </c>
      <c r="R44" s="115">
        <f t="shared" si="30"/>
        <v>42906.435999999994</v>
      </c>
      <c r="S44" s="115">
        <f t="shared" si="30"/>
        <v>27582.708857142854</v>
      </c>
      <c r="T44" s="115">
        <f t="shared" si="30"/>
        <v>27582.708857142854</v>
      </c>
      <c r="U44" s="115">
        <f t="shared" ref="U44" si="31">U42*$C$42</f>
        <v>0</v>
      </c>
      <c r="V44" s="109"/>
    </row>
    <row r="45" spans="1:22" s="106" customFormat="1" ht="12.75" customHeight="1" x14ac:dyDescent="0.2">
      <c r="A45" s="38" t="s">
        <v>107</v>
      </c>
      <c r="B45" s="39" t="s">
        <v>108</v>
      </c>
      <c r="C45" s="17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09"/>
    </row>
    <row r="46" spans="1:22" s="106" customFormat="1" ht="12.75" customHeight="1" x14ac:dyDescent="0.2">
      <c r="A46" s="28" t="s">
        <v>107</v>
      </c>
      <c r="B46" s="28" t="s">
        <v>108</v>
      </c>
      <c r="C46" s="140">
        <v>86195.54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f>0.6/9</f>
        <v>6.6666666666666666E-2</v>
      </c>
      <c r="J46" s="108">
        <f t="shared" ref="J46:P46" si="32">0.6/9</f>
        <v>6.6666666666666666E-2</v>
      </c>
      <c r="K46" s="108">
        <f t="shared" si="32"/>
        <v>6.6666666666666666E-2</v>
      </c>
      <c r="L46" s="108">
        <f t="shared" si="32"/>
        <v>6.6666666666666666E-2</v>
      </c>
      <c r="M46" s="108">
        <f t="shared" si="32"/>
        <v>6.6666666666666666E-2</v>
      </c>
      <c r="N46" s="108">
        <f t="shared" si="32"/>
        <v>6.6666666666666666E-2</v>
      </c>
      <c r="O46" s="108">
        <f t="shared" si="32"/>
        <v>6.6666666666666666E-2</v>
      </c>
      <c r="P46" s="108">
        <f t="shared" si="32"/>
        <v>6.6666666666666666E-2</v>
      </c>
      <c r="Q46" s="108">
        <f>0.4/4</f>
        <v>0.1</v>
      </c>
      <c r="R46" s="108">
        <f t="shared" ref="R46:T46" si="33">0.4/4</f>
        <v>0.1</v>
      </c>
      <c r="S46" s="108">
        <f t="shared" si="33"/>
        <v>0.1</v>
      </c>
      <c r="T46" s="108">
        <f t="shared" si="33"/>
        <v>0.1</v>
      </c>
      <c r="U46" s="108">
        <f t="shared" ref="U46" si="34">0.6/9</f>
        <v>6.6666666666666666E-2</v>
      </c>
      <c r="V46" s="109">
        <f>SUM(D46:U46)</f>
        <v>0.99999999999999989</v>
      </c>
    </row>
    <row r="47" spans="1:22" s="106" customFormat="1" x14ac:dyDescent="0.2">
      <c r="A47" s="29"/>
      <c r="B47" s="29"/>
      <c r="C47" s="3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09"/>
    </row>
    <row r="48" spans="1:22" s="106" customFormat="1" ht="12.75" customHeight="1" x14ac:dyDescent="0.2">
      <c r="A48" s="30"/>
      <c r="B48" s="30"/>
      <c r="C48" s="32"/>
      <c r="D48" s="115">
        <f>D46*$C$46</f>
        <v>0</v>
      </c>
      <c r="E48" s="115">
        <f t="shared" ref="E48:U48" si="35">E46*$C$46</f>
        <v>0</v>
      </c>
      <c r="F48" s="115">
        <f t="shared" si="35"/>
        <v>0</v>
      </c>
      <c r="G48" s="115">
        <f t="shared" si="35"/>
        <v>0</v>
      </c>
      <c r="H48" s="115">
        <f t="shared" si="35"/>
        <v>0</v>
      </c>
      <c r="I48" s="115">
        <f t="shared" si="35"/>
        <v>5746.3693333333331</v>
      </c>
      <c r="J48" s="115">
        <f t="shared" si="35"/>
        <v>5746.3693333333331</v>
      </c>
      <c r="K48" s="115">
        <f t="shared" si="35"/>
        <v>5746.3693333333331</v>
      </c>
      <c r="L48" s="115">
        <f t="shared" si="35"/>
        <v>5746.3693333333331</v>
      </c>
      <c r="M48" s="115">
        <f t="shared" si="35"/>
        <v>5746.3693333333331</v>
      </c>
      <c r="N48" s="115">
        <f t="shared" si="35"/>
        <v>5746.3693333333331</v>
      </c>
      <c r="O48" s="115">
        <f t="shared" si="35"/>
        <v>5746.3693333333331</v>
      </c>
      <c r="P48" s="115">
        <f t="shared" si="35"/>
        <v>5746.3693333333331</v>
      </c>
      <c r="Q48" s="115">
        <f t="shared" si="35"/>
        <v>8619.5540000000001</v>
      </c>
      <c r="R48" s="115">
        <f t="shared" si="35"/>
        <v>8619.5540000000001</v>
      </c>
      <c r="S48" s="115">
        <f t="shared" si="35"/>
        <v>8619.5540000000001</v>
      </c>
      <c r="T48" s="115">
        <f t="shared" si="35"/>
        <v>8619.5540000000001</v>
      </c>
      <c r="U48" s="115">
        <f t="shared" si="35"/>
        <v>5746.3693333333331</v>
      </c>
      <c r="V48" s="109"/>
    </row>
    <row r="49" spans="1:23" s="106" customFormat="1" ht="12.75" customHeight="1" x14ac:dyDescent="0.2">
      <c r="A49" s="30"/>
      <c r="B49" s="30"/>
      <c r="C49" s="32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09"/>
    </row>
    <row r="50" spans="1:23" s="106" customFormat="1" ht="12.75" customHeight="1" x14ac:dyDescent="0.2">
      <c r="A50" s="30"/>
      <c r="B50" s="30"/>
      <c r="C50" s="32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09"/>
    </row>
    <row r="51" spans="1:23" s="106" customFormat="1" ht="12.75" customHeight="1" x14ac:dyDescent="0.2">
      <c r="A51" s="38" t="s">
        <v>122</v>
      </c>
      <c r="B51" s="39" t="s">
        <v>123</v>
      </c>
      <c r="C51" s="17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09"/>
    </row>
    <row r="52" spans="1:23" s="106" customFormat="1" ht="12.75" customHeight="1" x14ac:dyDescent="0.2">
      <c r="A52" s="28" t="s">
        <v>107</v>
      </c>
      <c r="B52" s="28" t="s">
        <v>123</v>
      </c>
      <c r="C52" s="140">
        <v>1175116.23</v>
      </c>
      <c r="D52" s="108">
        <v>0</v>
      </c>
      <c r="E52" s="108">
        <v>0</v>
      </c>
      <c r="F52" s="108">
        <v>0</v>
      </c>
      <c r="G52" s="108">
        <v>0</v>
      </c>
      <c r="H52" s="108">
        <v>0</v>
      </c>
      <c r="I52" s="108"/>
      <c r="J52" s="108"/>
      <c r="K52" s="108"/>
      <c r="L52" s="108">
        <f t="shared" ref="L52:O52" si="36">0.4/6</f>
        <v>6.6666666666666666E-2</v>
      </c>
      <c r="M52" s="108">
        <f t="shared" si="36"/>
        <v>6.6666666666666666E-2</v>
      </c>
      <c r="N52" s="108">
        <f t="shared" si="36"/>
        <v>6.6666666666666666E-2</v>
      </c>
      <c r="O52" s="108">
        <f t="shared" si="36"/>
        <v>6.6666666666666666E-2</v>
      </c>
      <c r="P52" s="108">
        <f>0.6/4</f>
        <v>0.15</v>
      </c>
      <c r="Q52" s="108">
        <f t="shared" ref="Q52:S52" si="37">0.6/4</f>
        <v>0.15</v>
      </c>
      <c r="R52" s="108">
        <f t="shared" si="37"/>
        <v>0.15</v>
      </c>
      <c r="S52" s="108">
        <f t="shared" si="37"/>
        <v>0.15</v>
      </c>
      <c r="T52" s="108">
        <f>0.4/6</f>
        <v>6.6666666666666666E-2</v>
      </c>
      <c r="U52" s="108">
        <f>0.4/6</f>
        <v>6.6666666666666666E-2</v>
      </c>
      <c r="V52" s="109">
        <f>SUM(D52:U52)</f>
        <v>1</v>
      </c>
    </row>
    <row r="53" spans="1:23" s="106" customFormat="1" x14ac:dyDescent="0.2">
      <c r="A53" s="29"/>
      <c r="B53" s="29"/>
      <c r="C53" s="3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09"/>
    </row>
    <row r="54" spans="1:23" s="106" customFormat="1" ht="12.75" customHeight="1" x14ac:dyDescent="0.2">
      <c r="A54" s="30"/>
      <c r="B54" s="30"/>
      <c r="C54" s="32"/>
      <c r="D54" s="115">
        <f>D52*$C$46</f>
        <v>0</v>
      </c>
      <c r="E54" s="115">
        <f t="shared" ref="E54:J54" si="38">E52*$C$46</f>
        <v>0</v>
      </c>
      <c r="F54" s="115">
        <f t="shared" si="38"/>
        <v>0</v>
      </c>
      <c r="G54" s="115">
        <f t="shared" si="38"/>
        <v>0</v>
      </c>
      <c r="H54" s="115">
        <f t="shared" si="38"/>
        <v>0</v>
      </c>
      <c r="I54" s="115">
        <f t="shared" si="38"/>
        <v>0</v>
      </c>
      <c r="J54" s="115">
        <f t="shared" si="38"/>
        <v>0</v>
      </c>
      <c r="K54" s="115">
        <f>K52*$C$52</f>
        <v>0</v>
      </c>
      <c r="L54" s="115">
        <f t="shared" ref="L54:T54" si="39">L52*$C$52</f>
        <v>78341.081999999995</v>
      </c>
      <c r="M54" s="115">
        <f t="shared" si="39"/>
        <v>78341.081999999995</v>
      </c>
      <c r="N54" s="115">
        <f t="shared" si="39"/>
        <v>78341.081999999995</v>
      </c>
      <c r="O54" s="115">
        <f t="shared" si="39"/>
        <v>78341.081999999995</v>
      </c>
      <c r="P54" s="115">
        <f t="shared" si="39"/>
        <v>176267.4345</v>
      </c>
      <c r="Q54" s="115">
        <f t="shared" si="39"/>
        <v>176267.4345</v>
      </c>
      <c r="R54" s="115">
        <f t="shared" si="39"/>
        <v>176267.4345</v>
      </c>
      <c r="S54" s="115">
        <f t="shared" si="39"/>
        <v>176267.4345</v>
      </c>
      <c r="T54" s="115">
        <f t="shared" si="39"/>
        <v>78341.081999999995</v>
      </c>
      <c r="U54" s="115">
        <f>U52*$C$52</f>
        <v>78341.081999999995</v>
      </c>
      <c r="V54" s="109"/>
    </row>
    <row r="55" spans="1:23" s="106" customFormat="1" ht="12.75" customHeight="1" x14ac:dyDescent="0.2">
      <c r="A55" s="30"/>
      <c r="B55" s="30"/>
      <c r="C55" s="32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09"/>
    </row>
    <row r="56" spans="1:23" s="106" customFormat="1" ht="15" customHeight="1" x14ac:dyDescent="0.2">
      <c r="A56" s="8"/>
      <c r="B56" s="8" t="s">
        <v>70</v>
      </c>
      <c r="C56" s="9">
        <f>C9+C12+C17+C24+C27+C35+C20+C31+C38+C42+C46+C52</f>
        <v>8862505.5680000018</v>
      </c>
      <c r="D56" s="14">
        <f>D11+D14+D19+D22+D26+D29+D33+D37+D40+D44+D48+D54</f>
        <v>51398.166551218907</v>
      </c>
      <c r="E56" s="14">
        <f t="shared" ref="E56:J56" si="40">E11+E14+E19+E22+E26+E29+E33+E37+E40+E44+E48+E54</f>
        <v>151943.35301601485</v>
      </c>
      <c r="F56" s="14">
        <f t="shared" si="40"/>
        <v>322347.99124955444</v>
      </c>
      <c r="G56" s="14">
        <f t="shared" si="40"/>
        <v>322347.99124955444</v>
      </c>
      <c r="H56" s="14">
        <f t="shared" si="40"/>
        <v>292886.72014331358</v>
      </c>
      <c r="I56" s="14">
        <f t="shared" si="40"/>
        <v>412472.61259355798</v>
      </c>
      <c r="J56" s="14">
        <f t="shared" si="40"/>
        <v>412472.61259355798</v>
      </c>
      <c r="K56" s="14">
        <f t="shared" ref="K56:U56" si="41">K11+K14+K19+K22+K26+K29+K33+K37+K40+K44+K48+K54</f>
        <v>620868.95056049246</v>
      </c>
      <c r="L56" s="14">
        <f t="shared" si="41"/>
        <v>588830.23780280631</v>
      </c>
      <c r="M56" s="14">
        <f>M11+M14+M19+M22+M26+M29+M33+M37+M40+M44+M48+M54</f>
        <v>687672.62535825861</v>
      </c>
      <c r="N56" s="14">
        <f t="shared" si="41"/>
        <v>517267.9871247189</v>
      </c>
      <c r="O56" s="14">
        <f t="shared" si="41"/>
        <v>517267.9871247189</v>
      </c>
      <c r="P56" s="14">
        <f t="shared" si="41"/>
        <v>859776.11781077087</v>
      </c>
      <c r="Q56" s="14">
        <f t="shared" si="41"/>
        <v>862767.51795804652</v>
      </c>
      <c r="R56" s="14">
        <f t="shared" si="41"/>
        <v>862767.51795804652</v>
      </c>
      <c r="S56" s="14">
        <f t="shared" si="41"/>
        <v>747970.91758649447</v>
      </c>
      <c r="T56" s="14">
        <f t="shared" si="41"/>
        <v>421416.99971654249</v>
      </c>
      <c r="U56" s="14">
        <f t="shared" si="41"/>
        <v>210029.26160233229</v>
      </c>
      <c r="V56" s="117">
        <f>SUM(D56:U56)</f>
        <v>8862505.568</v>
      </c>
      <c r="W56" s="117">
        <f>V56-C56</f>
        <v>0</v>
      </c>
    </row>
    <row r="57" spans="1:23" s="106" customFormat="1" ht="15" customHeight="1" x14ac:dyDescent="0.2">
      <c r="A57" s="151" t="s">
        <v>14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</row>
    <row r="59" spans="1:23" x14ac:dyDescent="0.2">
      <c r="A59" s="106"/>
      <c r="B59" s="44"/>
      <c r="C59" s="116"/>
      <c r="D59" s="100">
        <f>D56/$C$56</f>
        <v>5.7995073917700129E-3</v>
      </c>
      <c r="E59" s="100">
        <f t="shared" ref="E59:I59" si="42">E56/$C$56</f>
        <v>1.7144514251662562E-2</v>
      </c>
      <c r="F59" s="100">
        <f t="shared" si="42"/>
        <v>3.6372105921542296E-2</v>
      </c>
      <c r="G59" s="100">
        <f t="shared" si="42"/>
        <v>3.6372105921542296E-2</v>
      </c>
      <c r="H59" s="100">
        <f t="shared" si="42"/>
        <v>3.3047846108085345E-2</v>
      </c>
      <c r="I59" s="100">
        <f t="shared" si="42"/>
        <v>4.6541309275209913E-2</v>
      </c>
      <c r="J59" s="100">
        <f t="shared" ref="J59:O59" si="43">J56/$C$56</f>
        <v>4.6541309275209913E-2</v>
      </c>
      <c r="K59" s="100">
        <f t="shared" si="43"/>
        <v>7.0055690887492861E-2</v>
      </c>
      <c r="L59" s="100">
        <f t="shared" si="43"/>
        <v>6.6440605682540343E-2</v>
      </c>
      <c r="M59" s="100">
        <f t="shared" si="43"/>
        <v>7.7593477384234291E-2</v>
      </c>
      <c r="N59" s="100">
        <f t="shared" si="43"/>
        <v>5.836588571435454E-2</v>
      </c>
      <c r="O59" s="100">
        <f t="shared" si="43"/>
        <v>5.836588571435454E-2</v>
      </c>
      <c r="P59" s="100">
        <f t="shared" ref="P59:U59" si="44">P56/$C$56</f>
        <v>9.7012759113537711E-2</v>
      </c>
      <c r="Q59" s="100">
        <f t="shared" si="44"/>
        <v>9.7350293473806748E-2</v>
      </c>
      <c r="R59" s="100">
        <f t="shared" si="44"/>
        <v>9.7350293473806748E-2</v>
      </c>
      <c r="S59" s="100">
        <f t="shared" si="44"/>
        <v>8.4397229637542426E-2</v>
      </c>
      <c r="T59" s="100">
        <f t="shared" si="44"/>
        <v>4.7550548372929657E-2</v>
      </c>
      <c r="U59" s="100">
        <f t="shared" si="44"/>
        <v>2.3698632400377662E-2</v>
      </c>
      <c r="V59" s="106"/>
    </row>
    <row r="60" spans="1:23" x14ac:dyDescent="0.2">
      <c r="A60" s="106"/>
      <c r="B60" s="44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06"/>
    </row>
    <row r="61" spans="1:23" x14ac:dyDescent="0.2">
      <c r="A61" s="106"/>
      <c r="B61" s="44"/>
      <c r="C61" s="118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17"/>
    </row>
    <row r="62" spans="1:23" x14ac:dyDescent="0.2">
      <c r="B62" s="139"/>
      <c r="V62" s="20"/>
    </row>
    <row r="63" spans="1:23" x14ac:dyDescent="0.2">
      <c r="A63" s="106"/>
      <c r="B63" s="44"/>
      <c r="C63" s="118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8">
        <f>SUM(D63:U63)</f>
        <v>0</v>
      </c>
    </row>
    <row r="64" spans="1:23" x14ac:dyDescent="0.2">
      <c r="V64" s="117">
        <f>SUM(D64:U64)</f>
        <v>0</v>
      </c>
    </row>
  </sheetData>
  <autoFilter ref="C1:C63" xr:uid="{00000000-0001-0000-0000-000000000000}"/>
  <customSheetViews>
    <customSheetView guid="{FA3C3B0B-EE85-46A6-ACE8-E861376BBCB7}" showPageBreaks="1" zeroValues="0" printArea="1" view="pageBreakPreview" topLeftCell="C1">
      <pane ySplit="7" topLeftCell="A8" activePane="bottomLeft" state="frozen"/>
      <selection pane="bottomLeft" activeCell="Q39" sqref="Q11:Q39"/>
      <pageMargins left="0" right="0" top="0" bottom="0" header="0" footer="0"/>
      <printOptions horizontalCentered="1"/>
      <pageSetup paperSize="8" scale="77" orientation="landscape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2">
    <mergeCell ref="A57:U57"/>
    <mergeCell ref="A6:U6"/>
  </mergeCells>
  <phoneticPr fontId="0" type="noConversion"/>
  <conditionalFormatting sqref="D35:E35">
    <cfRule type="cellIs" dxfId="39" priority="35" stopIfTrue="1" operator="greaterThan">
      <formula>0</formula>
    </cfRule>
  </conditionalFormatting>
  <conditionalFormatting sqref="D42:G42">
    <cfRule type="cellIs" dxfId="38" priority="22" stopIfTrue="1" operator="greaterThan">
      <formula>0</formula>
    </cfRule>
  </conditionalFormatting>
  <conditionalFormatting sqref="D46:H46 D45:U45">
    <cfRule type="cellIs" dxfId="37" priority="46" stopIfTrue="1" operator="greaterThan">
      <formula>0</formula>
    </cfRule>
  </conditionalFormatting>
  <conditionalFormatting sqref="D52:H52 D51:U51">
    <cfRule type="cellIs" dxfId="36" priority="5" stopIfTrue="1" operator="greaterThan">
      <formula>0</formula>
    </cfRule>
  </conditionalFormatting>
  <conditionalFormatting sqref="D9:U9">
    <cfRule type="cellIs" dxfId="35" priority="253" stopIfTrue="1" operator="greaterThan">
      <formula>0</formula>
    </cfRule>
  </conditionalFormatting>
  <conditionalFormatting sqref="D11:U11 D14:U14 D33:U33">
    <cfRule type="cellIs" dxfId="34" priority="1265" stopIfTrue="1" operator="greaterThan">
      <formula>0</formula>
    </cfRule>
  </conditionalFormatting>
  <conditionalFormatting sqref="D12:U12">
    <cfRule type="cellIs" dxfId="33" priority="681" stopIfTrue="1" operator="greaterThan">
      <formula>0</formula>
    </cfRule>
  </conditionalFormatting>
  <conditionalFormatting sqref="D17:U17">
    <cfRule type="cellIs" dxfId="32" priority="17" stopIfTrue="1" operator="greaterThan">
      <formula>0</formula>
    </cfRule>
  </conditionalFormatting>
  <conditionalFormatting sqref="D19:U19 D22:U22 D26:U26 D29:U29">
    <cfRule type="cellIs" dxfId="31" priority="470" stopIfTrue="1" operator="greaterThan">
      <formula>0</formula>
    </cfRule>
  </conditionalFormatting>
  <conditionalFormatting sqref="D20:U20">
    <cfRule type="cellIs" dxfId="30" priority="38" stopIfTrue="1" operator="greaterThan">
      <formula>0</formula>
    </cfRule>
  </conditionalFormatting>
  <conditionalFormatting sqref="D24:U24">
    <cfRule type="cellIs" dxfId="29" priority="11" stopIfTrue="1" operator="greaterThan">
      <formula>0</formula>
    </cfRule>
  </conditionalFormatting>
  <conditionalFormatting sqref="D27:U27">
    <cfRule type="cellIs" dxfId="28" priority="8" stopIfTrue="1" operator="greaterThan">
      <formula>0</formula>
    </cfRule>
  </conditionalFormatting>
  <conditionalFormatting sqref="D31:U31">
    <cfRule type="cellIs" dxfId="27" priority="85" stopIfTrue="1" operator="greaterThan">
      <formula>0</formula>
    </cfRule>
  </conditionalFormatting>
  <conditionalFormatting sqref="D37:U37">
    <cfRule type="cellIs" dxfId="26" priority="36" stopIfTrue="1" operator="greaterThan">
      <formula>0</formula>
    </cfRule>
  </conditionalFormatting>
  <conditionalFormatting sqref="D38:U38">
    <cfRule type="cellIs" dxfId="25" priority="28" stopIfTrue="1" operator="greaterThan">
      <formula>0</formula>
    </cfRule>
  </conditionalFormatting>
  <conditionalFormatting sqref="D40:U40">
    <cfRule type="cellIs" dxfId="24" priority="34" stopIfTrue="1" operator="greaterThan">
      <formula>0</formula>
    </cfRule>
  </conditionalFormatting>
  <conditionalFormatting sqref="D44:U44 D48:U50 D54:U55">
    <cfRule type="cellIs" dxfId="23" priority="437" stopIfTrue="1" operator="greaterThan">
      <formula>0</formula>
    </cfRule>
  </conditionalFormatting>
  <conditionalFormatting sqref="E46:G46">
    <cfRule type="cellIs" dxfId="22" priority="44" stopIfTrue="1" operator="greaterThan">
      <formula>0</formula>
    </cfRule>
  </conditionalFormatting>
  <conditionalFormatting sqref="E52:G52">
    <cfRule type="cellIs" dxfId="21" priority="3" stopIfTrue="1" operator="greaterThan">
      <formula>0</formula>
    </cfRule>
  </conditionalFormatting>
  <conditionalFormatting sqref="F42">
    <cfRule type="cellIs" dxfId="20" priority="20" stopIfTrue="1" operator="greaterThan">
      <formula>0</formula>
    </cfRule>
    <cfRule type="cellIs" dxfId="19" priority="21" stopIfTrue="1" operator="notEqual">
      <formula>0</formula>
    </cfRule>
  </conditionalFormatting>
  <conditionalFormatting sqref="F46:G46">
    <cfRule type="cellIs" dxfId="18" priority="45" stopIfTrue="1" operator="notEqual">
      <formula>0</formula>
    </cfRule>
  </conditionalFormatting>
  <conditionalFormatting sqref="F52:G52">
    <cfRule type="cellIs" dxfId="17" priority="4" stopIfTrue="1" operator="notEqual">
      <formula>0</formula>
    </cfRule>
  </conditionalFormatting>
  <conditionalFormatting sqref="F35:M35 D34:U34">
    <cfRule type="cellIs" dxfId="16" priority="80" stopIfTrue="1" operator="greaterThan">
      <formula>0</formula>
    </cfRule>
  </conditionalFormatting>
  <conditionalFormatting sqref="G42">
    <cfRule type="cellIs" dxfId="15" priority="425" stopIfTrue="1" operator="notEqual">
      <formula>0</formula>
    </cfRule>
  </conditionalFormatting>
  <conditionalFormatting sqref="G35:K35">
    <cfRule type="cellIs" dxfId="14" priority="78" stopIfTrue="1" operator="greaterThan">
      <formula>0</formula>
    </cfRule>
  </conditionalFormatting>
  <conditionalFormatting sqref="G38:K38 M38">
    <cfRule type="cellIs" dxfId="13" priority="26" stopIfTrue="1" operator="greaterThan">
      <formula>0</formula>
    </cfRule>
  </conditionalFormatting>
  <conditionalFormatting sqref="G42:U42 D41:U41">
    <cfRule type="cellIs" dxfId="12" priority="426" stopIfTrue="1" operator="greaterThan">
      <formula>0</formula>
    </cfRule>
  </conditionalFormatting>
  <conditionalFormatting sqref="H46">
    <cfRule type="cellIs" dxfId="11" priority="47" stopIfTrue="1" operator="notEqual">
      <formula>0</formula>
    </cfRule>
    <cfRule type="cellIs" dxfId="10" priority="48" stopIfTrue="1" operator="greaterThan">
      <formula>0</formula>
    </cfRule>
  </conditionalFormatting>
  <conditionalFormatting sqref="H52">
    <cfRule type="cellIs" dxfId="9" priority="6" stopIfTrue="1" operator="notEqual">
      <formula>0</formula>
    </cfRule>
    <cfRule type="cellIs" dxfId="8" priority="7" stopIfTrue="1" operator="greaterThan">
      <formula>0</formula>
    </cfRule>
  </conditionalFormatting>
  <conditionalFormatting sqref="H42:I42 U42">
    <cfRule type="cellIs" dxfId="7" priority="433" stopIfTrue="1" operator="notEqual">
      <formula>0</formula>
    </cfRule>
    <cfRule type="cellIs" dxfId="6" priority="435" stopIfTrue="1" operator="greaterThan">
      <formula>0</formula>
    </cfRule>
  </conditionalFormatting>
  <conditionalFormatting sqref="I35:K35">
    <cfRule type="cellIs" dxfId="5" priority="79" stopIfTrue="1" operator="notEqual">
      <formula>0</formula>
    </cfRule>
  </conditionalFormatting>
  <conditionalFormatting sqref="I38:K38">
    <cfRule type="cellIs" dxfId="4" priority="27" stopIfTrue="1" operator="notEqual">
      <formula>0</formula>
    </cfRule>
  </conditionalFormatting>
  <conditionalFormatting sqref="I46:U46">
    <cfRule type="cellIs" dxfId="3" priority="18" stopIfTrue="1" operator="greaterThan">
      <formula>0</formula>
    </cfRule>
  </conditionalFormatting>
  <conditionalFormatting sqref="I52:U52">
    <cfRule type="cellIs" dxfId="2" priority="1" stopIfTrue="1" operator="greaterThan">
      <formula>0</formula>
    </cfRule>
  </conditionalFormatting>
  <conditionalFormatting sqref="K42:T42">
    <cfRule type="cellIs" dxfId="1" priority="25" stopIfTrue="1" operator="greaterThan">
      <formula>0</formula>
    </cfRule>
  </conditionalFormatting>
  <conditionalFormatting sqref="M35:U35">
    <cfRule type="cellIs" dxfId="0" priority="31" stopIfTrue="1" operator="greaterThan">
      <formula>0</formula>
    </cfRule>
  </conditionalFormatting>
  <pageMargins left="0.59055118110236227" right="0.19685039370078741" top="0.59055118110236227" bottom="0.78740157480314965" header="0.23622047244094491" footer="0.15748031496062992"/>
  <pageSetup paperSize="8" scale="52" orientation="landscape" r:id="rId2"/>
  <headerFooter alignWithMargins="0">
    <oddFooter>Página &amp;P de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showZeros="0" view="pageBreakPreview" zoomScaleNormal="100" zoomScaleSheetLayoutView="100" workbookViewId="0">
      <selection activeCell="B26" sqref="B26"/>
    </sheetView>
  </sheetViews>
  <sheetFormatPr defaultColWidth="9.140625" defaultRowHeight="12.75" x14ac:dyDescent="0.2"/>
  <cols>
    <col min="1" max="1" width="12.7109375" style="1" customWidth="1"/>
    <col min="2" max="2" width="25.7109375" style="3" customWidth="1"/>
    <col min="3" max="5" width="25.7109375" style="4" customWidth="1"/>
    <col min="6" max="6" width="16.140625" style="1" customWidth="1"/>
    <col min="7" max="16384" width="9.140625" style="1"/>
  </cols>
  <sheetData>
    <row r="1" spans="1:7" s="21" customFormat="1" ht="6" customHeight="1" x14ac:dyDescent="0.2">
      <c r="A1" s="119"/>
      <c r="B1" s="120"/>
      <c r="C1" s="121"/>
      <c r="D1" s="120"/>
      <c r="E1" s="122"/>
      <c r="F1" s="123"/>
      <c r="G1" s="123"/>
    </row>
    <row r="2" spans="1:7" s="21" customFormat="1" ht="20.100000000000001" customHeight="1" x14ac:dyDescent="0.2">
      <c r="A2" s="124"/>
      <c r="B2" s="47" t="str">
        <f>'Cron. Fís. Valores'!B2</f>
        <v>DEFENSORIA PÚBLICA DO ESTADO DE SÃO PAULO</v>
      </c>
      <c r="C2" s="47"/>
      <c r="D2" s="47"/>
      <c r="E2" s="125"/>
      <c r="F2" s="123"/>
      <c r="G2" s="123"/>
    </row>
    <row r="3" spans="1:7" s="21" customFormat="1" ht="24.95" customHeight="1" x14ac:dyDescent="0.2">
      <c r="A3" s="124"/>
      <c r="B3" s="22" t="str">
        <f>'Cron. Fís. Valores'!B3</f>
        <v>OBRA: REFORMA DEFENSORIA PUBLICA DO ESTADO DE SAO PAULO-ARACATUBA</v>
      </c>
      <c r="C3" s="22"/>
      <c r="D3" s="27"/>
      <c r="E3" s="23"/>
      <c r="F3" s="123"/>
      <c r="G3" s="123"/>
    </row>
    <row r="4" spans="1:7" s="21" customFormat="1" ht="20.100000000000001" customHeight="1" x14ac:dyDescent="0.2">
      <c r="A4" s="124"/>
      <c r="B4" s="46" t="str">
        <f>'Cron. Fís. Valores'!B4</f>
        <v>LOCAL: RUA TENENTE ALCIDES THEODORO DOS SANTOS, S/N - AVIAÇÃO, ARAÇATUBA/SP</v>
      </c>
      <c r="C4" s="46"/>
      <c r="D4" s="46"/>
      <c r="E4" s="126"/>
      <c r="F4" s="123"/>
      <c r="G4" s="123"/>
    </row>
    <row r="5" spans="1:7" s="21" customFormat="1" ht="6" customHeight="1" x14ac:dyDescent="0.2">
      <c r="A5" s="127"/>
      <c r="B5" s="128"/>
      <c r="C5" s="129"/>
      <c r="D5" s="128"/>
      <c r="E5" s="130"/>
      <c r="F5" s="123"/>
      <c r="G5" s="123"/>
    </row>
    <row r="6" spans="1:7" s="21" customFormat="1" ht="15" customHeight="1" x14ac:dyDescent="0.2">
      <c r="A6" s="24" t="s">
        <v>15</v>
      </c>
      <c r="B6" s="25"/>
      <c r="C6" s="25"/>
      <c r="D6" s="25"/>
      <c r="E6" s="26"/>
      <c r="F6" s="123"/>
      <c r="G6" s="123"/>
    </row>
    <row r="7" spans="1:7" ht="19.5" customHeight="1" x14ac:dyDescent="0.2">
      <c r="A7" s="10" t="s">
        <v>16</v>
      </c>
      <c r="B7" s="11" t="s">
        <v>17</v>
      </c>
      <c r="C7" s="12" t="s">
        <v>18</v>
      </c>
      <c r="D7" s="13" t="s">
        <v>19</v>
      </c>
      <c r="E7" s="12" t="s">
        <v>18</v>
      </c>
      <c r="F7" s="131"/>
      <c r="G7" s="131"/>
    </row>
    <row r="8" spans="1:7" s="2" customFormat="1" ht="19.5" customHeight="1" x14ac:dyDescent="0.2">
      <c r="A8" s="132" t="s">
        <v>20</v>
      </c>
      <c r="B8" s="133">
        <f>'Cron. Fís. Valores'!D56</f>
        <v>51398.166551218907</v>
      </c>
      <c r="C8" s="134">
        <f>B8/'Cron. Fís. Valores'!$C$56</f>
        <v>5.7995073917700129E-3</v>
      </c>
      <c r="D8" s="135">
        <f>B8</f>
        <v>51398.166551218907</v>
      </c>
      <c r="E8" s="134">
        <f>C8</f>
        <v>5.7995073917700129E-3</v>
      </c>
    </row>
    <row r="9" spans="1:7" ht="19.5" customHeight="1" x14ac:dyDescent="0.2">
      <c r="A9" s="132" t="s">
        <v>21</v>
      </c>
      <c r="B9" s="133">
        <f>'Cron. Fís. Valores'!E56</f>
        <v>151943.35301601485</v>
      </c>
      <c r="C9" s="134">
        <f>B9/'Cron. Fís. Valores'!$C$56</f>
        <v>1.7144514251662562E-2</v>
      </c>
      <c r="D9" s="135">
        <f>D8+B9</f>
        <v>203341.51956723374</v>
      </c>
      <c r="E9" s="134">
        <f>E8+C9</f>
        <v>2.2944021643432573E-2</v>
      </c>
      <c r="F9" s="136"/>
      <c r="G9" s="131"/>
    </row>
    <row r="10" spans="1:7" ht="19.5" customHeight="1" x14ac:dyDescent="0.2">
      <c r="A10" s="132" t="s">
        <v>22</v>
      </c>
      <c r="B10" s="133">
        <f>'Cron. Fís. Valores'!F56</f>
        <v>322347.99124955444</v>
      </c>
      <c r="C10" s="134">
        <f>B10/'Cron. Fís. Valores'!$C$56</f>
        <v>3.6372105921542296E-2</v>
      </c>
      <c r="D10" s="135">
        <f t="shared" ref="D10:D25" si="0">D9+B10</f>
        <v>525689.51081678818</v>
      </c>
      <c r="E10" s="134">
        <f t="shared" ref="E10" si="1">E9+C10</f>
        <v>5.9316127564974869E-2</v>
      </c>
      <c r="F10" s="131"/>
      <c r="G10" s="131"/>
    </row>
    <row r="11" spans="1:7" ht="19.5" customHeight="1" x14ac:dyDescent="0.2">
      <c r="A11" s="132" t="s">
        <v>23</v>
      </c>
      <c r="B11" s="133">
        <f>'Cron. Fís. Valores'!G56</f>
        <v>322347.99124955444</v>
      </c>
      <c r="C11" s="134">
        <f>B11/'Cron. Fís. Valores'!$C$56</f>
        <v>3.6372105921542296E-2</v>
      </c>
      <c r="D11" s="135">
        <f t="shared" si="0"/>
        <v>848037.50206634263</v>
      </c>
      <c r="E11" s="134">
        <f>E10+C11</f>
        <v>9.5688233486517171E-2</v>
      </c>
      <c r="F11" s="131"/>
      <c r="G11" s="131"/>
    </row>
    <row r="12" spans="1:7" ht="19.5" customHeight="1" x14ac:dyDescent="0.2">
      <c r="A12" s="132" t="s">
        <v>24</v>
      </c>
      <c r="B12" s="133">
        <f>'Cron. Fís. Valores'!H56</f>
        <v>292886.72014331358</v>
      </c>
      <c r="C12" s="134">
        <f>B12/'Cron. Fís. Valores'!$C$56</f>
        <v>3.3047846108085345E-2</v>
      </c>
      <c r="D12" s="135">
        <f t="shared" si="0"/>
        <v>1140924.2222096561</v>
      </c>
      <c r="E12" s="134">
        <f t="shared" ref="E12:E25" si="2">E11+C12</f>
        <v>0.12873607959460251</v>
      </c>
      <c r="F12" s="131"/>
      <c r="G12" s="131"/>
    </row>
    <row r="13" spans="1:7" ht="19.5" customHeight="1" x14ac:dyDescent="0.2">
      <c r="A13" s="132" t="s">
        <v>25</v>
      </c>
      <c r="B13" s="133">
        <f>'Cron. Fís. Valores'!I56</f>
        <v>412472.61259355798</v>
      </c>
      <c r="C13" s="134">
        <f>B13/'Cron. Fís. Valores'!$C$56</f>
        <v>4.6541309275209913E-2</v>
      </c>
      <c r="D13" s="135">
        <f t="shared" si="0"/>
        <v>1553396.8348032141</v>
      </c>
      <c r="E13" s="134">
        <f t="shared" si="2"/>
        <v>0.17527738886981242</v>
      </c>
      <c r="F13" s="131"/>
      <c r="G13" s="131"/>
    </row>
    <row r="14" spans="1:7" s="2" customFormat="1" ht="19.5" customHeight="1" x14ac:dyDescent="0.2">
      <c r="A14" s="132" t="s">
        <v>109</v>
      </c>
      <c r="B14" s="133">
        <f>'Cron. Fís. Valores'!J56</f>
        <v>412472.61259355798</v>
      </c>
      <c r="C14" s="134">
        <f>B14/'Cron. Fís. Valores'!$C$56</f>
        <v>4.6541309275209913E-2</v>
      </c>
      <c r="D14" s="135">
        <f t="shared" si="0"/>
        <v>1965869.447396772</v>
      </c>
      <c r="E14" s="134">
        <f t="shared" si="2"/>
        <v>0.22181869814502234</v>
      </c>
    </row>
    <row r="15" spans="1:7" ht="19.5" customHeight="1" x14ac:dyDescent="0.2">
      <c r="A15" s="132" t="s">
        <v>110</v>
      </c>
      <c r="B15" s="133">
        <f>'Cron. Fís. Valores'!K56</f>
        <v>620868.95056049246</v>
      </c>
      <c r="C15" s="134">
        <f>B15/'Cron. Fís. Valores'!$C$56</f>
        <v>7.0055690887492861E-2</v>
      </c>
      <c r="D15" s="135">
        <f t="shared" si="0"/>
        <v>2586738.3979572644</v>
      </c>
      <c r="E15" s="134">
        <f t="shared" si="2"/>
        <v>0.29187438903251517</v>
      </c>
      <c r="F15" s="136"/>
      <c r="G15" s="131"/>
    </row>
    <row r="16" spans="1:7" ht="19.5" customHeight="1" x14ac:dyDescent="0.2">
      <c r="A16" s="132" t="s">
        <v>111</v>
      </c>
      <c r="B16" s="133">
        <f>'Cron. Fís. Valores'!L56</f>
        <v>588830.23780280631</v>
      </c>
      <c r="C16" s="134">
        <f>B16/'Cron. Fís. Valores'!$C$56</f>
        <v>6.6440605682540343E-2</v>
      </c>
      <c r="D16" s="135">
        <f t="shared" si="0"/>
        <v>3175568.6357600708</v>
      </c>
      <c r="E16" s="134">
        <f t="shared" si="2"/>
        <v>0.35831499471505551</v>
      </c>
      <c r="F16" s="131"/>
      <c r="G16" s="131"/>
    </row>
    <row r="17" spans="1:7" ht="19.5" customHeight="1" x14ac:dyDescent="0.2">
      <c r="A17" s="132" t="s">
        <v>112</v>
      </c>
      <c r="B17" s="133">
        <f>'Cron. Fís. Valores'!M56</f>
        <v>687672.62535825861</v>
      </c>
      <c r="C17" s="134">
        <f>B17/'Cron. Fís. Valores'!$C$56</f>
        <v>7.7593477384234291E-2</v>
      </c>
      <c r="D17" s="135">
        <f t="shared" si="0"/>
        <v>3863241.2611183291</v>
      </c>
      <c r="E17" s="134">
        <f t="shared" si="2"/>
        <v>0.43590847209928979</v>
      </c>
      <c r="F17" s="131"/>
      <c r="G17" s="131"/>
    </row>
    <row r="18" spans="1:7" ht="19.5" customHeight="1" x14ac:dyDescent="0.2">
      <c r="A18" s="132" t="s">
        <v>113</v>
      </c>
      <c r="B18" s="133">
        <f>'Cron. Fís. Valores'!N56</f>
        <v>517267.9871247189</v>
      </c>
      <c r="C18" s="134">
        <f>B18/'Cron. Fís. Valores'!$C$56</f>
        <v>5.836588571435454E-2</v>
      </c>
      <c r="D18" s="135">
        <f t="shared" si="0"/>
        <v>4380509.2482430479</v>
      </c>
      <c r="E18" s="134">
        <f t="shared" si="2"/>
        <v>0.49427435781364432</v>
      </c>
      <c r="F18" s="131"/>
      <c r="G18" s="131"/>
    </row>
    <row r="19" spans="1:7" ht="19.5" customHeight="1" x14ac:dyDescent="0.2">
      <c r="A19" s="132" t="s">
        <v>114</v>
      </c>
      <c r="B19" s="133">
        <f>'Cron. Fís. Valores'!O56</f>
        <v>517267.9871247189</v>
      </c>
      <c r="C19" s="134">
        <f>B19/'Cron. Fís. Valores'!$C$56</f>
        <v>5.836588571435454E-2</v>
      </c>
      <c r="D19" s="135">
        <f t="shared" si="0"/>
        <v>4897777.2353677666</v>
      </c>
      <c r="E19" s="134">
        <f t="shared" si="2"/>
        <v>0.5526402435279989</v>
      </c>
      <c r="F19" s="131"/>
      <c r="G19" s="131"/>
    </row>
    <row r="20" spans="1:7" s="2" customFormat="1" ht="19.5" customHeight="1" x14ac:dyDescent="0.2">
      <c r="A20" s="132" t="s">
        <v>115</v>
      </c>
      <c r="B20" s="133">
        <f>'Cron. Fís. Valores'!P56</f>
        <v>859776.11781077087</v>
      </c>
      <c r="C20" s="134">
        <f>B20/'Cron. Fís. Valores'!$C$56</f>
        <v>9.7012759113537711E-2</v>
      </c>
      <c r="D20" s="135">
        <f t="shared" si="0"/>
        <v>5757553.3531785375</v>
      </c>
      <c r="E20" s="134">
        <f t="shared" si="2"/>
        <v>0.64965300264153658</v>
      </c>
    </row>
    <row r="21" spans="1:7" ht="19.5" customHeight="1" x14ac:dyDescent="0.2">
      <c r="A21" s="132" t="s">
        <v>116</v>
      </c>
      <c r="B21" s="133">
        <f>'Cron. Fís. Valores'!Q56</f>
        <v>862767.51795804652</v>
      </c>
      <c r="C21" s="134">
        <f>B21/'Cron. Fís. Valores'!$C$56</f>
        <v>9.7350293473806748E-2</v>
      </c>
      <c r="D21" s="135">
        <f t="shared" si="0"/>
        <v>6620320.8711365843</v>
      </c>
      <c r="E21" s="134">
        <f t="shared" si="2"/>
        <v>0.74700329611534333</v>
      </c>
      <c r="F21" s="136"/>
      <c r="G21" s="131"/>
    </row>
    <row r="22" spans="1:7" ht="19.5" customHeight="1" x14ac:dyDescent="0.2">
      <c r="A22" s="132" t="s">
        <v>117</v>
      </c>
      <c r="B22" s="133">
        <f>'Cron. Fís. Valores'!R56</f>
        <v>862767.51795804652</v>
      </c>
      <c r="C22" s="134">
        <f>B22/'Cron. Fís. Valores'!$C$56</f>
        <v>9.7350293473806748E-2</v>
      </c>
      <c r="D22" s="135">
        <f t="shared" si="0"/>
        <v>7483088.3890946312</v>
      </c>
      <c r="E22" s="134">
        <f t="shared" si="2"/>
        <v>0.84435358958915008</v>
      </c>
      <c r="F22" s="131"/>
      <c r="G22" s="131"/>
    </row>
    <row r="23" spans="1:7" ht="19.5" customHeight="1" x14ac:dyDescent="0.2">
      <c r="A23" s="132" t="s">
        <v>118</v>
      </c>
      <c r="B23" s="133">
        <f>'Cron. Fís. Valores'!S56</f>
        <v>747970.91758649447</v>
      </c>
      <c r="C23" s="134">
        <f>B23/'Cron. Fís. Valores'!$C$56</f>
        <v>8.4397229637542426E-2</v>
      </c>
      <c r="D23" s="135">
        <f t="shared" si="0"/>
        <v>8231059.3066811254</v>
      </c>
      <c r="E23" s="134">
        <f t="shared" si="2"/>
        <v>0.92875081922669245</v>
      </c>
      <c r="F23" s="131"/>
      <c r="G23" s="131"/>
    </row>
    <row r="24" spans="1:7" ht="19.5" customHeight="1" x14ac:dyDescent="0.2">
      <c r="A24" s="132" t="s">
        <v>119</v>
      </c>
      <c r="B24" s="133">
        <f>'Cron. Fís. Valores'!T56</f>
        <v>421416.99971654249</v>
      </c>
      <c r="C24" s="134">
        <f>B24/'Cron. Fís. Valores'!$C$56</f>
        <v>4.7550548372929657E-2</v>
      </c>
      <c r="D24" s="135">
        <f t="shared" si="0"/>
        <v>8652476.3063976672</v>
      </c>
      <c r="E24" s="134">
        <f t="shared" si="2"/>
        <v>0.97630136759962216</v>
      </c>
      <c r="F24" s="131"/>
      <c r="G24" s="131"/>
    </row>
    <row r="25" spans="1:7" ht="19.5" customHeight="1" x14ac:dyDescent="0.2">
      <c r="A25" s="132" t="s">
        <v>120</v>
      </c>
      <c r="B25" s="133">
        <f>'Cron. Fís. Valores'!U56</f>
        <v>210029.26160233229</v>
      </c>
      <c r="C25" s="134">
        <f>B25/'Cron. Fís. Valores'!$C$56</f>
        <v>2.3698632400377662E-2</v>
      </c>
      <c r="D25" s="135">
        <f t="shared" si="0"/>
        <v>8862505.568</v>
      </c>
      <c r="E25" s="134">
        <f t="shared" si="2"/>
        <v>0.99999999999999978</v>
      </c>
      <c r="F25" s="131"/>
      <c r="G25" s="131"/>
    </row>
    <row r="26" spans="1:7" ht="19.5" customHeight="1" x14ac:dyDescent="0.2">
      <c r="A26" s="5" t="s">
        <v>26</v>
      </c>
      <c r="B26" s="40">
        <f>SUM(B8:B25)</f>
        <v>8862505.568</v>
      </c>
      <c r="C26" s="41">
        <f>SUM(C8:C25)</f>
        <v>0.99999999999999978</v>
      </c>
      <c r="D26" s="42"/>
      <c r="E26" s="43"/>
      <c r="F26" s="131"/>
      <c r="G26" s="131"/>
    </row>
    <row r="29" spans="1:7" x14ac:dyDescent="0.2">
      <c r="B29" s="137"/>
    </row>
    <row r="30" spans="1:7" x14ac:dyDescent="0.2">
      <c r="B30" s="138"/>
    </row>
    <row r="32" spans="1:7" x14ac:dyDescent="0.2">
      <c r="B32" s="137"/>
    </row>
  </sheetData>
  <customSheetViews>
    <customSheetView guid="{FA3C3B0B-EE85-46A6-ACE8-E861376BBCB7}" showPageBreaks="1" zeroValues="0" printArea="1" view="pageBreakPreview">
      <pageMargins left="0" right="0" top="0" bottom="0" header="0" footer="0"/>
      <printOptions horizontalCentered="1"/>
      <pageSetup paperSize="9" scale="81" orientation="portrait" horizontalDpi="4294967294" r:id="rId1"/>
      <headerFooter alignWithMargins="0">
        <oddFooter>&amp;L&amp;8&amp;P/&amp;N&amp;R&amp;8&amp;F
Base: Boletim 16X com desoneração - Mês/Ano</oddFooter>
      </headerFooter>
    </customSheetView>
  </customSheetViews>
  <phoneticPr fontId="0" type="noConversion"/>
  <printOptions horizontalCentered="1"/>
  <pageMargins left="0.59055118110236227" right="0.19685039370078741" top="0.59055118110236227" bottom="0.78740157480314965" header="0.23622047244094491" footer="0.15748031496062992"/>
  <pageSetup paperSize="9" fitToHeight="0" orientation="landscape" r:id="rId2"/>
  <headerFooter alignWithMargins="0">
    <oddFooter xml:space="preserve">&amp;R&amp;8   Base: Boletim Fevereiro/2022
sem desoneração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topLeftCell="A21" zoomScale="90" workbookViewId="0">
      <selection activeCell="G12" sqref="G12"/>
    </sheetView>
  </sheetViews>
  <sheetFormatPr defaultColWidth="11.42578125" defaultRowHeight="12.75" x14ac:dyDescent="0.2"/>
  <cols>
    <col min="1" max="1" width="4.85546875" style="50" bestFit="1" customWidth="1"/>
    <col min="2" max="2" width="6.42578125" style="97" customWidth="1"/>
    <col min="3" max="3" width="70.7109375" style="54" customWidth="1"/>
    <col min="4" max="4" width="7.85546875" style="54" customWidth="1"/>
    <col min="5" max="5" width="12" style="54" customWidth="1"/>
    <col min="6" max="6" width="11.85546875" style="54" customWidth="1"/>
    <col min="7" max="7" width="18.7109375" style="54" customWidth="1"/>
    <col min="8" max="8" width="1" style="54" customWidth="1"/>
    <col min="9" max="9" width="12.140625" style="54" bestFit="1" customWidth="1"/>
    <col min="10" max="16384" width="11.42578125" style="54"/>
  </cols>
  <sheetData>
    <row r="1" spans="1:9" ht="17.100000000000001" customHeight="1" x14ac:dyDescent="0.25">
      <c r="B1" s="51"/>
      <c r="C1" s="52"/>
      <c r="D1" s="52"/>
      <c r="E1" s="52"/>
      <c r="F1" s="52"/>
      <c r="G1" s="52"/>
      <c r="H1" s="53"/>
    </row>
    <row r="2" spans="1:9" ht="17.100000000000001" customHeight="1" x14ac:dyDescent="0.25">
      <c r="B2" s="51"/>
      <c r="C2" s="52"/>
      <c r="D2" s="52"/>
      <c r="E2" s="52"/>
      <c r="F2" s="52"/>
      <c r="G2" s="52"/>
      <c r="H2" s="53"/>
    </row>
    <row r="3" spans="1:9" ht="15" x14ac:dyDescent="0.2">
      <c r="B3" s="55"/>
      <c r="C3" s="53"/>
      <c r="D3" s="53"/>
      <c r="E3" s="53"/>
      <c r="F3" s="53"/>
      <c r="G3" s="53"/>
      <c r="H3" s="53"/>
    </row>
    <row r="4" spans="1:9" ht="18.75" customHeight="1" x14ac:dyDescent="0.25">
      <c r="B4" s="56" t="s">
        <v>27</v>
      </c>
      <c r="C4" s="57"/>
      <c r="D4" s="57"/>
      <c r="E4" s="58" t="s">
        <v>28</v>
      </c>
      <c r="F4" s="58"/>
      <c r="G4" s="59"/>
      <c r="H4" s="60"/>
    </row>
    <row r="5" spans="1:9" ht="18.75" customHeight="1" x14ac:dyDescent="0.25">
      <c r="B5" s="61" t="s">
        <v>29</v>
      </c>
      <c r="C5" s="62"/>
      <c r="D5" s="62"/>
      <c r="E5" s="63" t="s">
        <v>30</v>
      </c>
      <c r="F5" s="63"/>
      <c r="G5" s="64"/>
      <c r="H5" s="60"/>
    </row>
    <row r="6" spans="1:9" ht="14.25" customHeight="1" x14ac:dyDescent="0.25">
      <c r="B6" s="65" t="s">
        <v>31</v>
      </c>
      <c r="C6" s="66"/>
      <c r="D6" s="66"/>
      <c r="E6" s="66"/>
      <c r="F6" s="66"/>
      <c r="G6" s="67"/>
      <c r="H6" s="53"/>
    </row>
    <row r="7" spans="1:9" ht="15.75" x14ac:dyDescent="0.25">
      <c r="B7" s="51"/>
      <c r="C7" s="52"/>
      <c r="D7" s="52"/>
      <c r="E7" s="52"/>
      <c r="F7" s="52"/>
      <c r="G7" s="68"/>
      <c r="H7" s="53"/>
    </row>
    <row r="8" spans="1:9" ht="18" customHeight="1" x14ac:dyDescent="0.25">
      <c r="B8" s="69" t="s">
        <v>1</v>
      </c>
      <c r="C8" s="70" t="s">
        <v>32</v>
      </c>
      <c r="D8" s="70" t="s">
        <v>33</v>
      </c>
      <c r="E8" s="70" t="s">
        <v>34</v>
      </c>
      <c r="F8" s="70" t="s">
        <v>35</v>
      </c>
      <c r="G8" s="71" t="s">
        <v>36</v>
      </c>
      <c r="H8" s="72"/>
    </row>
    <row r="9" spans="1:9" ht="18" customHeight="1" x14ac:dyDescent="0.25">
      <c r="B9" s="65"/>
      <c r="C9" s="73"/>
      <c r="D9" s="74"/>
      <c r="E9" s="73"/>
      <c r="F9" s="74" t="s">
        <v>37</v>
      </c>
      <c r="G9" s="75" t="s">
        <v>37</v>
      </c>
      <c r="H9" s="53"/>
    </row>
    <row r="10" spans="1:9" ht="5.25" customHeight="1" x14ac:dyDescent="0.2">
      <c r="B10" s="76"/>
      <c r="C10" s="60"/>
      <c r="D10" s="77"/>
      <c r="E10" s="78"/>
      <c r="F10" s="79"/>
      <c r="G10" s="79"/>
      <c r="H10" s="60"/>
    </row>
    <row r="11" spans="1:9" ht="20.100000000000001" customHeight="1" x14ac:dyDescent="0.2">
      <c r="B11" s="77">
        <v>1</v>
      </c>
      <c r="C11" s="80" t="s">
        <v>38</v>
      </c>
      <c r="D11" s="77" t="s">
        <v>39</v>
      </c>
      <c r="E11" s="77" t="s">
        <v>39</v>
      </c>
      <c r="F11" s="77" t="s">
        <v>39</v>
      </c>
      <c r="G11" s="81">
        <f>ROUND(SUM(G13:G24)*1%,2)</f>
        <v>22421.81</v>
      </c>
      <c r="H11" s="60"/>
    </row>
    <row r="12" spans="1:9" ht="20.100000000000001" customHeight="1" x14ac:dyDescent="0.2">
      <c r="B12" s="77">
        <v>2</v>
      </c>
      <c r="C12" s="80" t="s">
        <v>40</v>
      </c>
      <c r="D12" s="77" t="s">
        <v>39</v>
      </c>
      <c r="E12" s="77" t="s">
        <v>39</v>
      </c>
      <c r="F12" s="77" t="s">
        <v>39</v>
      </c>
      <c r="G12" s="81">
        <f>ROUND(G11/1.17*5,2)</f>
        <v>95819.7</v>
      </c>
      <c r="H12" s="60"/>
    </row>
    <row r="13" spans="1:9" ht="20.100000000000001" customHeight="1" x14ac:dyDescent="0.2">
      <c r="A13" s="82">
        <v>1374</v>
      </c>
      <c r="B13" s="77">
        <v>3</v>
      </c>
      <c r="C13" s="80" t="s">
        <v>41</v>
      </c>
      <c r="D13" s="77"/>
      <c r="E13" s="77"/>
      <c r="F13" s="77"/>
      <c r="G13" s="81"/>
      <c r="H13" s="60"/>
      <c r="I13" s="83"/>
    </row>
    <row r="14" spans="1:9" ht="20.100000000000001" customHeight="1" x14ac:dyDescent="0.2">
      <c r="A14" s="82"/>
      <c r="B14" s="77" t="s">
        <v>42</v>
      </c>
      <c r="C14" s="80" t="s">
        <v>43</v>
      </c>
      <c r="D14" s="77"/>
      <c r="E14" s="77"/>
      <c r="F14" s="77"/>
      <c r="G14" s="81">
        <v>38283.769999999997</v>
      </c>
      <c r="H14" s="60"/>
      <c r="I14" s="83"/>
    </row>
    <row r="15" spans="1:9" ht="20.100000000000001" customHeight="1" x14ac:dyDescent="0.2">
      <c r="A15" s="82"/>
      <c r="B15" s="77" t="s">
        <v>44</v>
      </c>
      <c r="C15" s="80" t="s">
        <v>45</v>
      </c>
      <c r="D15" s="77"/>
      <c r="E15" s="77"/>
      <c r="F15" s="77"/>
      <c r="G15" s="81">
        <v>266755.19</v>
      </c>
      <c r="H15" s="60"/>
      <c r="I15" s="83"/>
    </row>
    <row r="16" spans="1:9" ht="20.100000000000001" customHeight="1" x14ac:dyDescent="0.2">
      <c r="A16" s="82"/>
      <c r="B16" s="77" t="s">
        <v>46</v>
      </c>
      <c r="C16" s="80" t="s">
        <v>47</v>
      </c>
      <c r="D16" s="77"/>
      <c r="E16" s="77"/>
      <c r="F16" s="77"/>
      <c r="G16" s="81">
        <v>587332.4</v>
      </c>
      <c r="H16" s="60"/>
      <c r="I16" s="83"/>
    </row>
    <row r="17" spans="1:9" ht="20.100000000000001" customHeight="1" x14ac:dyDescent="0.2">
      <c r="A17" s="82"/>
      <c r="B17" s="77" t="s">
        <v>48</v>
      </c>
      <c r="C17" s="80" t="s">
        <v>49</v>
      </c>
      <c r="D17" s="77"/>
      <c r="E17" s="77"/>
      <c r="F17" s="77"/>
      <c r="G17" s="81">
        <v>5829.01</v>
      </c>
      <c r="H17" s="60"/>
      <c r="I17" s="83"/>
    </row>
    <row r="18" spans="1:9" ht="20.100000000000001" customHeight="1" x14ac:dyDescent="0.2">
      <c r="A18" s="82"/>
      <c r="B18" s="77" t="s">
        <v>50</v>
      </c>
      <c r="C18" s="80" t="s">
        <v>51</v>
      </c>
      <c r="D18" s="77"/>
      <c r="E18" s="77"/>
      <c r="F18" s="77"/>
      <c r="G18" s="81">
        <v>174778.5</v>
      </c>
      <c r="H18" s="60"/>
      <c r="I18" s="83"/>
    </row>
    <row r="19" spans="1:9" ht="20.100000000000001" customHeight="1" x14ac:dyDescent="0.2">
      <c r="A19" s="82"/>
      <c r="B19" s="77" t="s">
        <v>52</v>
      </c>
      <c r="C19" s="80" t="s">
        <v>53</v>
      </c>
      <c r="D19" s="77"/>
      <c r="E19" s="77"/>
      <c r="F19" s="77"/>
      <c r="G19" s="81">
        <v>261124.26</v>
      </c>
      <c r="H19" s="60"/>
    </row>
    <row r="20" spans="1:9" ht="20.100000000000001" customHeight="1" x14ac:dyDescent="0.2">
      <c r="A20" s="82"/>
      <c r="B20" s="77" t="s">
        <v>54</v>
      </c>
      <c r="C20" s="80" t="s">
        <v>55</v>
      </c>
      <c r="D20" s="77"/>
      <c r="E20" s="77"/>
      <c r="F20" s="77"/>
      <c r="G20" s="81">
        <v>31815.16</v>
      </c>
      <c r="H20" s="60"/>
    </row>
    <row r="21" spans="1:9" ht="20.100000000000001" customHeight="1" x14ac:dyDescent="0.2">
      <c r="A21" s="82"/>
      <c r="B21" s="77" t="s">
        <v>56</v>
      </c>
      <c r="C21" s="80" t="s">
        <v>57</v>
      </c>
      <c r="D21" s="77"/>
      <c r="E21" s="77"/>
      <c r="F21" s="77"/>
      <c r="G21" s="81">
        <v>687247.34</v>
      </c>
      <c r="H21" s="60"/>
    </row>
    <row r="22" spans="1:9" ht="20.100000000000001" customHeight="1" x14ac:dyDescent="0.2">
      <c r="A22" s="82"/>
      <c r="B22" s="77" t="s">
        <v>58</v>
      </c>
      <c r="C22" s="80" t="s">
        <v>59</v>
      </c>
      <c r="D22" s="77"/>
      <c r="E22" s="77"/>
      <c r="F22" s="77"/>
      <c r="G22" s="81">
        <v>144772.06</v>
      </c>
      <c r="H22" s="60"/>
    </row>
    <row r="23" spans="1:9" ht="20.100000000000001" customHeight="1" x14ac:dyDescent="0.2">
      <c r="A23" s="82"/>
      <c r="B23" s="77" t="s">
        <v>60</v>
      </c>
      <c r="C23" s="80" t="s">
        <v>61</v>
      </c>
      <c r="D23" s="77"/>
      <c r="E23" s="77"/>
      <c r="F23" s="77"/>
      <c r="G23" s="81">
        <v>44243.63</v>
      </c>
      <c r="H23" s="60"/>
    </row>
    <row r="24" spans="1:9" ht="20.100000000000001" customHeight="1" x14ac:dyDescent="0.2">
      <c r="B24" s="77"/>
      <c r="C24" s="80"/>
      <c r="D24" s="84"/>
      <c r="E24" s="77"/>
      <c r="F24" s="81"/>
      <c r="G24" s="81"/>
      <c r="H24" s="60"/>
    </row>
    <row r="25" spans="1:9" ht="6" customHeight="1" x14ac:dyDescent="0.25">
      <c r="B25" s="85"/>
      <c r="C25" s="73"/>
      <c r="D25" s="77"/>
      <c r="E25" s="78"/>
      <c r="F25" s="86"/>
      <c r="G25" s="86"/>
      <c r="H25" s="60"/>
    </row>
    <row r="26" spans="1:9" ht="15" x14ac:dyDescent="0.2">
      <c r="B26" s="76"/>
      <c r="C26" s="53"/>
      <c r="D26" s="87"/>
      <c r="E26" s="88"/>
      <c r="F26" s="89"/>
      <c r="G26" s="81"/>
      <c r="H26" s="90"/>
    </row>
    <row r="27" spans="1:9" ht="18" x14ac:dyDescent="0.25">
      <c r="B27" s="76"/>
      <c r="C27" s="91" t="s">
        <v>62</v>
      </c>
      <c r="D27" s="72"/>
      <c r="E27" s="89"/>
      <c r="F27" s="89"/>
      <c r="G27" s="92">
        <f>ROUND(SUM(G11:G26),2)</f>
        <v>2360422.83</v>
      </c>
      <c r="H27" s="90"/>
    </row>
    <row r="28" spans="1:9" x14ac:dyDescent="0.2">
      <c r="B28" s="93"/>
      <c r="C28" s="94"/>
      <c r="D28" s="94"/>
      <c r="E28" s="94"/>
      <c r="F28" s="95"/>
      <c r="G28" s="96"/>
      <c r="H28" s="90"/>
    </row>
    <row r="29" spans="1:9" x14ac:dyDescent="0.2">
      <c r="F29" s="98"/>
      <c r="G29" s="98"/>
    </row>
    <row r="30" spans="1:9" ht="15" x14ac:dyDescent="0.2">
      <c r="B30" s="53" t="s">
        <v>63</v>
      </c>
      <c r="C30" s="53" t="s">
        <v>64</v>
      </c>
      <c r="D30" s="53"/>
      <c r="E30" s="53"/>
      <c r="F30" s="99"/>
      <c r="G30" s="99"/>
    </row>
    <row r="31" spans="1:9" ht="15" x14ac:dyDescent="0.2">
      <c r="B31" s="53"/>
      <c r="C31" s="53" t="s">
        <v>65</v>
      </c>
      <c r="D31" s="53"/>
      <c r="E31" s="53"/>
      <c r="F31" s="99"/>
      <c r="G31" s="99"/>
    </row>
    <row r="32" spans="1:9" ht="15" x14ac:dyDescent="0.2">
      <c r="C32" s="53" t="s">
        <v>66</v>
      </c>
    </row>
    <row r="33" spans="3:3" ht="15" x14ac:dyDescent="0.2">
      <c r="C33" s="53" t="s">
        <v>67</v>
      </c>
    </row>
    <row r="34" spans="3:3" ht="15" x14ac:dyDescent="0.2">
      <c r="C34" s="53" t="s">
        <v>68</v>
      </c>
    </row>
    <row r="43" spans="3:3" x14ac:dyDescent="0.2">
      <c r="C43" s="54" t="s">
        <v>69</v>
      </c>
    </row>
  </sheetData>
  <printOptions gridLinesSet="0"/>
  <pageMargins left="0.78740157480314965" right="0" top="0.70866141732283472" bottom="0" header="0" footer="0"/>
  <pageSetup paperSize="9" scale="74" fitToHeight="0" orientation="portrait" verticalDpi="597" r:id="rId1"/>
  <headerFooter alignWithMargins="0">
    <oddFooter xml:space="preserve">&amp;C&amp;Z&amp;F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Cron. Fís. Valores</vt:lpstr>
      <vt:lpstr>Cron. Fin. Valores</vt:lpstr>
      <vt:lpstr>54DP-RESUMO</vt:lpstr>
      <vt:lpstr>'54DP-RESUMO'!Area_de_impressao</vt:lpstr>
      <vt:lpstr>'Cron. Fin. Valores'!Area_de_impressao</vt:lpstr>
      <vt:lpstr>'Cron. Fís. Valores'!Area_de_impressao</vt:lpstr>
      <vt:lpstr>'Cron. Fin. Valores'!Titulos_de_impressao</vt:lpstr>
      <vt:lpstr>'Cron. Fís. Valores'!Titulos_de_impressao</vt:lpstr>
    </vt:vector>
  </TitlesOfParts>
  <Manager/>
  <Company>CPOS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Roberto Malta Bonachini</cp:lastModifiedBy>
  <cp:revision/>
  <cp:lastPrinted>2026-04-13T16:20:43Z</cp:lastPrinted>
  <dcterms:created xsi:type="dcterms:W3CDTF">2001-09-19T18:09:56Z</dcterms:created>
  <dcterms:modified xsi:type="dcterms:W3CDTF">2026-04-13T16:39:23Z</dcterms:modified>
  <cp:category/>
  <cp:contentStatus/>
</cp:coreProperties>
</file>